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120" yWindow="-120" windowWidth="20730" windowHeight="11160" activeTab="1"/>
  </bookViews>
  <sheets>
    <sheet name="MANUAL DE USO" sheetId="26" r:id="rId1"/>
    <sheet name="ENTRADA DE DATOS" sheetId="4" r:id="rId2"/>
    <sheet name="ED MADERA-VIV" sheetId="28" state="veryHidden" r:id="rId3"/>
    <sheet name="ED MADERA-OTROS" sheetId="30" state="veryHidden" r:id="rId4"/>
    <sheet name="ED ESTANDAR-VIV" sheetId="29" state="veryHidden" r:id="rId5"/>
    <sheet name="Tablas" sheetId="5" state="veryHidden" r:id="rId6"/>
    <sheet name="Aislamiento" sheetId="19" state="veryHidden" r:id="rId7"/>
    <sheet name="Estructura" sheetId="1" state="veryHidden" r:id="rId8"/>
    <sheet name="Pavimentos" sheetId="2" state="veryHidden" r:id="rId9"/>
    <sheet name="Calculos reves. Suelos" sheetId="3" state="veryHidden" r:id="rId10"/>
    <sheet name="Revest. interiores verticales" sheetId="6" state="veryHidden" r:id="rId11"/>
    <sheet name="Carpinterias" sheetId="7" state="veryHidden" r:id="rId12"/>
    <sheet name="Revest. fachadas ventilada" sheetId="8" state="veryHidden" r:id="rId13"/>
    <sheet name="Cálculos fachada" sheetId="11" state="veryHidden" r:id="rId14"/>
    <sheet name="traduccion terminología" sheetId="10" state="veryHidden" r:id="rId15"/>
  </sheet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5" i="5"/>
  <c r="D41" i="30"/>
  <c r="D41" i="28"/>
  <c r="D96" i="30"/>
  <c r="G34" i="4"/>
  <c r="D34"/>
  <c r="D34" i="30" s="1"/>
  <c r="D115"/>
  <c r="D112"/>
  <c r="D109"/>
  <c r="G99"/>
  <c r="D99"/>
  <c r="G96"/>
  <c r="G93"/>
  <c r="D93"/>
  <c r="G90"/>
  <c r="G87"/>
  <c r="J71"/>
  <c r="G71"/>
  <c r="D71"/>
  <c r="D60"/>
  <c r="G33"/>
  <c r="D33"/>
  <c r="G32"/>
  <c r="D32"/>
  <c r="G31"/>
  <c r="D31"/>
  <c r="G30"/>
  <c r="D30"/>
  <c r="G29"/>
  <c r="D29"/>
  <c r="G28"/>
  <c r="D28"/>
  <c r="G27"/>
  <c r="D27"/>
  <c r="G26"/>
  <c r="D26"/>
  <c r="G25"/>
  <c r="D25"/>
  <c r="G24"/>
  <c r="D24"/>
  <c r="G23"/>
  <c r="D23"/>
  <c r="D20"/>
  <c r="D19"/>
  <c r="D18"/>
  <c r="G34" l="1"/>
  <c r="D123" i="4"/>
  <c r="D115" i="29" l="1"/>
  <c r="D112"/>
  <c r="D109"/>
  <c r="G99"/>
  <c r="D99"/>
  <c r="G96"/>
  <c r="D96"/>
  <c r="G93"/>
  <c r="D93"/>
  <c r="G90"/>
  <c r="D90"/>
  <c r="G87"/>
  <c r="D87"/>
  <c r="J71"/>
  <c r="G71"/>
  <c r="D71"/>
  <c r="D60"/>
  <c r="D41"/>
  <c r="G34"/>
  <c r="D34"/>
  <c r="G33"/>
  <c r="D33"/>
  <c r="G32"/>
  <c r="D32"/>
  <c r="G31"/>
  <c r="D31"/>
  <c r="G30"/>
  <c r="D30"/>
  <c r="G29"/>
  <c r="D29"/>
  <c r="G28"/>
  <c r="D28"/>
  <c r="G27"/>
  <c r="D27"/>
  <c r="G26"/>
  <c r="D26"/>
  <c r="G25"/>
  <c r="D25"/>
  <c r="G24"/>
  <c r="D24"/>
  <c r="G23"/>
  <c r="D23"/>
  <c r="D20"/>
  <c r="D19"/>
  <c r="D18"/>
  <c r="D115" i="28"/>
  <c r="D112"/>
  <c r="D109"/>
  <c r="G99"/>
  <c r="G96"/>
  <c r="G93"/>
  <c r="G90"/>
  <c r="G87"/>
  <c r="D99"/>
  <c r="D96"/>
  <c r="D93"/>
  <c r="D87"/>
  <c r="D90"/>
  <c r="J71"/>
  <c r="G71"/>
  <c r="D71"/>
  <c r="D60"/>
  <c r="G34"/>
  <c r="G33"/>
  <c r="G32"/>
  <c r="G31"/>
  <c r="G30"/>
  <c r="G29"/>
  <c r="G28"/>
  <c r="G27"/>
  <c r="G26"/>
  <c r="G25"/>
  <c r="G24"/>
  <c r="G23"/>
  <c r="D24"/>
  <c r="D25"/>
  <c r="D26"/>
  <c r="D27"/>
  <c r="D28"/>
  <c r="D29"/>
  <c r="D30"/>
  <c r="D31"/>
  <c r="D32"/>
  <c r="D33"/>
  <c r="D34"/>
  <c r="D23"/>
  <c r="D19"/>
  <c r="D20"/>
  <c r="D18"/>
  <c r="D35" i="5" l="1"/>
  <c r="D36" s="1"/>
  <c r="W12" i="19"/>
  <c r="X12"/>
  <c r="Y12"/>
  <c r="Z12"/>
  <c r="W13"/>
  <c r="X13"/>
  <c r="Y13"/>
  <c r="Z13"/>
  <c r="V13"/>
  <c r="V12"/>
  <c r="O12"/>
  <c r="P12"/>
  <c r="Q12"/>
  <c r="R12"/>
  <c r="O13"/>
  <c r="P13"/>
  <c r="Q13"/>
  <c r="R13"/>
  <c r="N13"/>
  <c r="N12"/>
  <c r="D38" i="5" l="1"/>
  <c r="D47"/>
  <c r="D41"/>
  <c r="D42"/>
  <c r="D46"/>
  <c r="D40"/>
  <c r="D43"/>
  <c r="D44"/>
  <c r="D39"/>
  <c r="D37"/>
  <c r="D45"/>
  <c r="G72" i="1"/>
  <c r="I72" s="1"/>
  <c r="E73"/>
  <c r="E72"/>
  <c r="E69"/>
  <c r="C72"/>
  <c r="E70"/>
  <c r="C69"/>
  <c r="N32"/>
  <c r="N33" s="1"/>
  <c r="P31"/>
  <c r="D62"/>
  <c r="F62" s="1"/>
  <c r="D64"/>
  <c r="F64" s="1"/>
  <c r="D63"/>
  <c r="D125" i="28" l="1"/>
  <c r="D125" i="29"/>
  <c r="F125" i="4" s="1"/>
  <c r="D125"/>
  <c r="D125" i="30"/>
  <c r="D65" i="1"/>
  <c r="F63"/>
  <c r="F65" s="1"/>
  <c r="F66" s="1"/>
  <c r="E71"/>
  <c r="G71" s="1"/>
  <c r="I71" s="1"/>
  <c r="N34"/>
  <c r="P33"/>
  <c r="P32"/>
  <c r="E125" i="4" l="1"/>
  <c r="I73" i="1"/>
  <c r="P34"/>
  <c r="J72" l="1"/>
  <c r="J71"/>
  <c r="G127" i="11"/>
  <c r="I127" s="1"/>
  <c r="J127" s="1"/>
  <c r="G35" i="8" s="1"/>
  <c r="J35" s="1"/>
  <c r="G126" i="11"/>
  <c r="I126" s="1"/>
  <c r="G125"/>
  <c r="I125" s="1"/>
  <c r="G124"/>
  <c r="I124" s="1"/>
  <c r="J124" l="1"/>
  <c r="K72" i="1"/>
  <c r="J34" i="8"/>
  <c r="G33"/>
  <c r="J33" s="1"/>
  <c r="J36" l="1"/>
  <c r="D32" i="5" s="1"/>
  <c r="D123" i="29" s="1"/>
  <c r="F123" i="4" s="1"/>
  <c r="V11" i="19"/>
  <c r="W11"/>
  <c r="X11"/>
  <c r="Y11"/>
  <c r="Z11"/>
  <c r="N11"/>
  <c r="O11"/>
  <c r="P11"/>
  <c r="Q11"/>
  <c r="R11"/>
  <c r="F12"/>
  <c r="G12"/>
  <c r="H12"/>
  <c r="I12"/>
  <c r="J12"/>
  <c r="F13"/>
  <c r="G13"/>
  <c r="H13"/>
  <c r="I13"/>
  <c r="J13"/>
  <c r="F11"/>
  <c r="G11"/>
  <c r="H11"/>
  <c r="I11"/>
  <c r="J11"/>
  <c r="G25" l="1"/>
  <c r="G22"/>
  <c r="G24"/>
  <c r="G23"/>
  <c r="G21"/>
  <c r="I19"/>
  <c r="I18"/>
  <c r="I20"/>
  <c r="F25"/>
  <c r="F24"/>
  <c r="F21"/>
  <c r="F23"/>
  <c r="F22"/>
  <c r="F19"/>
  <c r="F18"/>
  <c r="F20"/>
  <c r="J27"/>
  <c r="J29"/>
  <c r="J26"/>
  <c r="J28"/>
  <c r="H26"/>
  <c r="H28"/>
  <c r="H27"/>
  <c r="H29"/>
  <c r="H23"/>
  <c r="H25"/>
  <c r="H22"/>
  <c r="H24"/>
  <c r="H21"/>
  <c r="I27"/>
  <c r="I26"/>
  <c r="I28"/>
  <c r="I29"/>
  <c r="J21"/>
  <c r="J23"/>
  <c r="J25"/>
  <c r="J22"/>
  <c r="J24"/>
  <c r="G27"/>
  <c r="G26"/>
  <c r="G28"/>
  <c r="G29"/>
  <c r="H18"/>
  <c r="H20"/>
  <c r="H19"/>
  <c r="G18"/>
  <c r="G20"/>
  <c r="G19"/>
  <c r="J19"/>
  <c r="J18"/>
  <c r="J20"/>
  <c r="I25"/>
  <c r="I21"/>
  <c r="I22"/>
  <c r="I24"/>
  <c r="I23"/>
  <c r="F27"/>
  <c r="F26"/>
  <c r="F28"/>
  <c r="F29"/>
  <c r="D7" i="5"/>
  <c r="M18" i="7" l="1"/>
  <c r="S29" s="1"/>
  <c r="M22"/>
  <c r="N22" s="1"/>
  <c r="N23" s="1"/>
  <c r="H10"/>
  <c r="Q29"/>
  <c r="Q30"/>
  <c r="Q28"/>
  <c r="H18"/>
  <c r="L21"/>
  <c r="J30"/>
  <c r="J23"/>
  <c r="K18"/>
  <c r="K29" s="1"/>
  <c r="I18"/>
  <c r="I29" s="1"/>
  <c r="N10"/>
  <c r="O22"/>
  <c r="O23" s="1"/>
  <c r="N14"/>
  <c r="D24"/>
  <c r="D23"/>
  <c r="P18"/>
  <c r="Q17"/>
  <c r="Q16"/>
  <c r="Q15"/>
  <c r="Q14"/>
  <c r="P9"/>
  <c r="Q9" s="1"/>
  <c r="P8"/>
  <c r="Q8" s="1"/>
  <c r="Q7"/>
  <c r="Q6"/>
  <c r="Q5"/>
  <c r="N17"/>
  <c r="F16"/>
  <c r="N15"/>
  <c r="N16"/>
  <c r="N7"/>
  <c r="N6"/>
  <c r="N5"/>
  <c r="M9"/>
  <c r="N9" s="1"/>
  <c r="M8"/>
  <c r="N8" s="1"/>
  <c r="F14"/>
  <c r="F15"/>
  <c r="G7"/>
  <c r="G6"/>
  <c r="G5"/>
  <c r="H30" i="8"/>
  <c r="G30"/>
  <c r="H27" i="2"/>
  <c r="H28" s="1"/>
  <c r="D27" i="3"/>
  <c r="H27" i="6"/>
  <c r="G20"/>
  <c r="H21"/>
  <c r="D46"/>
  <c r="D45"/>
  <c r="D101" i="11"/>
  <c r="D100"/>
  <c r="D99"/>
  <c r="F99" s="1"/>
  <c r="J30" i="8" l="1"/>
  <c r="J31" s="1"/>
  <c r="D34" i="5" s="1"/>
  <c r="D102" i="11"/>
  <c r="D103" s="1"/>
  <c r="G8" i="8" s="1"/>
  <c r="J8" s="1"/>
  <c r="D47" i="6"/>
  <c r="D48" s="1"/>
  <c r="G27" s="1"/>
  <c r="J27" s="1"/>
  <c r="F106" i="11"/>
  <c r="D31" i="3"/>
  <c r="G28" i="2" s="1"/>
  <c r="G36" s="1"/>
  <c r="J36" s="1"/>
  <c r="F107" i="11"/>
  <c r="D28" i="3"/>
  <c r="G27" i="2" s="1"/>
  <c r="J27" s="1"/>
  <c r="P29" i="7"/>
  <c r="R29" s="1"/>
  <c r="T29" s="1"/>
  <c r="W29" s="1"/>
  <c r="D27" i="5" s="1"/>
  <c r="H36" i="2"/>
  <c r="D25" i="7"/>
  <c r="P30" s="1"/>
  <c r="R30" s="1"/>
  <c r="G10"/>
  <c r="G28" s="1"/>
  <c r="P28" s="1"/>
  <c r="R28" s="1"/>
  <c r="N18"/>
  <c r="S30"/>
  <c r="Q23"/>
  <c r="M12"/>
  <c r="S28" s="1"/>
  <c r="N12"/>
  <c r="Q18"/>
  <c r="Q12"/>
  <c r="P12"/>
  <c r="G21" i="6" l="1"/>
  <c r="J21" s="1"/>
  <c r="J28" i="2"/>
  <c r="T30" i="7"/>
  <c r="W30" s="1"/>
  <c r="D26" i="5" s="1"/>
  <c r="D124" i="28" s="1"/>
  <c r="F108" i="11"/>
  <c r="G5" i="8" s="1"/>
  <c r="T28" i="7"/>
  <c r="W28" s="1"/>
  <c r="D28" i="5" s="1"/>
  <c r="U29" i="7" l="1"/>
  <c r="D124" i="4"/>
  <c r="D124" i="30"/>
  <c r="E124" i="4" s="1"/>
  <c r="D124" i="29"/>
  <c r="F124" i="4" s="1"/>
  <c r="U28" i="7"/>
  <c r="U30"/>
  <c r="G7" i="8" l="1"/>
  <c r="J7" s="1"/>
  <c r="F90" i="11"/>
  <c r="F88"/>
  <c r="F91" s="1"/>
  <c r="C93" s="1"/>
  <c r="G6" i="8"/>
  <c r="J6" s="1"/>
  <c r="J5"/>
  <c r="J24"/>
  <c r="D78" i="11"/>
  <c r="D80" s="1"/>
  <c r="D81" s="1"/>
  <c r="D82" s="1"/>
  <c r="G75"/>
  <c r="G23" i="8"/>
  <c r="J23" s="1"/>
  <c r="G13"/>
  <c r="J13" s="1"/>
  <c r="J14" s="1"/>
  <c r="D30" i="5" s="1"/>
  <c r="G45" i="11"/>
  <c r="I45" s="1"/>
  <c r="J45" s="1"/>
  <c r="G41"/>
  <c r="I41" s="1"/>
  <c r="J41" s="1"/>
  <c r="G40"/>
  <c r="I40" s="1"/>
  <c r="J40" s="1"/>
  <c r="J42" s="1"/>
  <c r="G31"/>
  <c r="G30"/>
  <c r="G29"/>
  <c r="G28"/>
  <c r="F18"/>
  <c r="F17"/>
  <c r="F16"/>
  <c r="F15"/>
  <c r="F19" s="1"/>
  <c r="F20" s="1"/>
  <c r="F9"/>
  <c r="F8"/>
  <c r="F7"/>
  <c r="F6"/>
  <c r="D23" i="5"/>
  <c r="D56" i="6"/>
  <c r="E18" s="1"/>
  <c r="G18" s="1"/>
  <c r="J20"/>
  <c r="E56"/>
  <c r="H18" s="1"/>
  <c r="J26"/>
  <c r="J28" s="1"/>
  <c r="D25" i="5" s="1"/>
  <c r="J19" i="6"/>
  <c r="C40"/>
  <c r="C39"/>
  <c r="F112" i="3"/>
  <c r="J18" i="6" l="1"/>
  <c r="C38"/>
  <c r="C43" s="1"/>
  <c r="F10" i="11"/>
  <c r="E17" i="8" s="1"/>
  <c r="G17" s="1"/>
  <c r="J17" s="1"/>
  <c r="J19" s="1"/>
  <c r="D31" i="5" s="1"/>
  <c r="G32" i="11"/>
  <c r="G34" s="1"/>
  <c r="G18" i="8" s="1"/>
  <c r="J18" s="1"/>
  <c r="J47" i="11"/>
  <c r="J25" i="8"/>
  <c r="D33" i="5" s="1"/>
  <c r="J22" i="6"/>
  <c r="D24" i="5" s="1"/>
  <c r="D127" i="30" s="1"/>
  <c r="J9" i="8"/>
  <c r="D29" i="5" s="1"/>
  <c r="D123" i="30" l="1"/>
  <c r="D123" i="28"/>
  <c r="D4" i="1"/>
  <c r="E123" i="4" l="1"/>
  <c r="G4" i="6"/>
  <c r="J5"/>
  <c r="J10"/>
  <c r="G9"/>
  <c r="J9" s="1"/>
  <c r="J11" l="1"/>
  <c r="D22" i="5" s="1"/>
  <c r="J4" i="6"/>
  <c r="J6" s="1"/>
  <c r="D21" i="5" s="1"/>
  <c r="D127" i="29" l="1"/>
  <c r="F127" i="4" s="1"/>
  <c r="D127" i="28"/>
  <c r="E127" i="4" s="1"/>
  <c r="D127"/>
  <c r="J65" i="2"/>
  <c r="P82" i="3" l="1"/>
  <c r="P85"/>
  <c r="D44" i="2"/>
  <c r="G39"/>
  <c r="J39" s="1"/>
  <c r="D56" i="1"/>
  <c r="F56" s="1"/>
  <c r="P18"/>
  <c r="N19"/>
  <c r="N20" s="1"/>
  <c r="N21" s="1"/>
  <c r="N22" s="1"/>
  <c r="N23" s="1"/>
  <c r="N24" s="1"/>
  <c r="N25" s="1"/>
  <c r="N26" s="1"/>
  <c r="N27" s="1"/>
  <c r="P27" s="1"/>
  <c r="D58"/>
  <c r="F58" s="1"/>
  <c r="D57"/>
  <c r="F57" s="1"/>
  <c r="F59" l="1"/>
  <c r="P20"/>
  <c r="P24"/>
  <c r="D59"/>
  <c r="P25"/>
  <c r="P26"/>
  <c r="P19"/>
  <c r="P21"/>
  <c r="P22"/>
  <c r="P23"/>
  <c r="G66" i="2"/>
  <c r="J66" s="1"/>
  <c r="G59"/>
  <c r="J59" s="1"/>
  <c r="G58"/>
  <c r="J58" s="1"/>
  <c r="J52"/>
  <c r="J46"/>
  <c r="F60" i="1" l="1"/>
  <c r="I74"/>
  <c r="D56" i="2"/>
  <c r="G55"/>
  <c r="J55" s="1"/>
  <c r="G54"/>
  <c r="J54" s="1"/>
  <c r="G49"/>
  <c r="J49" s="1"/>
  <c r="G68"/>
  <c r="J68" s="1"/>
  <c r="G62"/>
  <c r="J62" s="1"/>
  <c r="G67"/>
  <c r="J67" s="1"/>
  <c r="G61"/>
  <c r="J61" s="1"/>
  <c r="G48"/>
  <c r="J48" s="1"/>
  <c r="G41"/>
  <c r="J41" s="1"/>
  <c r="H53" i="3"/>
  <c r="J53" s="1"/>
  <c r="H51"/>
  <c r="J51" s="1"/>
  <c r="G43" i="2"/>
  <c r="J43" s="1"/>
  <c r="G42"/>
  <c r="J42" s="1"/>
  <c r="H32"/>
  <c r="J69" l="1"/>
  <c r="D20" i="5" s="1"/>
  <c r="J50" i="2"/>
  <c r="D17" i="5" s="1"/>
  <c r="J54" i="3"/>
  <c r="J40" i="2" s="1"/>
  <c r="J44" s="1"/>
  <c r="D13" i="5" s="1"/>
  <c r="D126" i="30" s="1"/>
  <c r="J56" i="2"/>
  <c r="D18" i="5" s="1"/>
  <c r="D25" i="3"/>
  <c r="E25" s="1"/>
  <c r="G25" s="1"/>
  <c r="I25" s="1"/>
  <c r="G24" i="2" s="1"/>
  <c r="J24" s="1"/>
  <c r="G26"/>
  <c r="J26" s="1"/>
  <c r="G25"/>
  <c r="J25" s="1"/>
  <c r="G23"/>
  <c r="J23" s="1"/>
  <c r="G22"/>
  <c r="J22" s="1"/>
  <c r="D14" i="3"/>
  <c r="F15" s="1"/>
  <c r="F17" s="1"/>
  <c r="F9"/>
  <c r="F10" s="1"/>
  <c r="G60" i="2" s="1"/>
  <c r="J60" s="1"/>
  <c r="J63" s="1"/>
  <c r="D19" i="5" s="1"/>
  <c r="B9" i="3"/>
  <c r="B10" s="1"/>
  <c r="G13" i="2"/>
  <c r="J13" s="1"/>
  <c r="G12"/>
  <c r="J12" s="1"/>
  <c r="G11"/>
  <c r="J11" s="1"/>
  <c r="G10"/>
  <c r="J10" s="1"/>
  <c r="G35"/>
  <c r="J35" s="1"/>
  <c r="G34"/>
  <c r="J34" s="1"/>
  <c r="G32"/>
  <c r="J32" s="1"/>
  <c r="G31"/>
  <c r="J31" s="1"/>
  <c r="D37"/>
  <c r="G19"/>
  <c r="J19" s="1"/>
  <c r="G18"/>
  <c r="J18" s="1"/>
  <c r="J17"/>
  <c r="G16"/>
  <c r="J16" s="1"/>
  <c r="G7"/>
  <c r="J7" s="1"/>
  <c r="G6"/>
  <c r="J6" s="1"/>
  <c r="G5"/>
  <c r="J5" s="1"/>
  <c r="G4"/>
  <c r="J4" s="1"/>
  <c r="J29" l="1"/>
  <c r="D11" i="5" s="1"/>
  <c r="J20" i="2"/>
  <c r="D14" i="5" s="1"/>
  <c r="J14" i="2"/>
  <c r="D15" i="5" s="1"/>
  <c r="G33" i="2"/>
  <c r="J33" s="1"/>
  <c r="J8"/>
  <c r="D16" i="5" s="1"/>
  <c r="D126" i="28" l="1"/>
  <c r="E126" i="4" s="1"/>
  <c r="D126" i="29"/>
  <c r="F126" i="4" s="1"/>
  <c r="D126"/>
  <c r="J37" i="2"/>
  <c r="D12" i="5" s="1"/>
  <c r="D69" i="2"/>
  <c r="D63"/>
  <c r="D50"/>
  <c r="D29"/>
  <c r="D20"/>
  <c r="D14"/>
  <c r="D8"/>
  <c r="Z5" i="1" l="1"/>
  <c r="Z6"/>
  <c r="Z7"/>
  <c r="Z8"/>
  <c r="Z9"/>
  <c r="Z10"/>
  <c r="Z11"/>
  <c r="Z12"/>
  <c r="Z13"/>
  <c r="Z4"/>
  <c r="Y5"/>
  <c r="Y6"/>
  <c r="Y7"/>
  <c r="Y8"/>
  <c r="Y9"/>
  <c r="Y10"/>
  <c r="Y11"/>
  <c r="Y12"/>
  <c r="Y13"/>
  <c r="Y4"/>
  <c r="P4"/>
  <c r="N5" l="1"/>
  <c r="C20"/>
  <c r="E19"/>
  <c r="U5"/>
  <c r="U6"/>
  <c r="U7"/>
  <c r="U8"/>
  <c r="U9"/>
  <c r="U10"/>
  <c r="U11"/>
  <c r="U12"/>
  <c r="U13"/>
  <c r="U4"/>
  <c r="M5"/>
  <c r="M6"/>
  <c r="M7"/>
  <c r="M8"/>
  <c r="M22" s="1"/>
  <c r="M9"/>
  <c r="M23" s="1"/>
  <c r="M10"/>
  <c r="M24" s="1"/>
  <c r="M11"/>
  <c r="M25" s="1"/>
  <c r="M12"/>
  <c r="M26" s="1"/>
  <c r="M13"/>
  <c r="M27" s="1"/>
  <c r="M4"/>
  <c r="D5"/>
  <c r="D6"/>
  <c r="D7"/>
  <c r="D8"/>
  <c r="D9"/>
  <c r="D10"/>
  <c r="D11"/>
  <c r="D12"/>
  <c r="D13"/>
  <c r="M18" l="1"/>
  <c r="M31"/>
  <c r="O31" s="1"/>
  <c r="M21"/>
  <c r="M34"/>
  <c r="O34" s="1"/>
  <c r="M20"/>
  <c r="M33"/>
  <c r="O33" s="1"/>
  <c r="M19"/>
  <c r="M32"/>
  <c r="O32" s="1"/>
  <c r="O13"/>
  <c r="O5"/>
  <c r="L5"/>
  <c r="AJ5" s="1"/>
  <c r="X7"/>
  <c r="AA7" s="1"/>
  <c r="D9" i="5" s="1"/>
  <c r="D122" i="4" s="1"/>
  <c r="T7" i="1"/>
  <c r="O6"/>
  <c r="X6"/>
  <c r="AA6" s="1"/>
  <c r="T6"/>
  <c r="O4"/>
  <c r="Q4" s="1"/>
  <c r="L4"/>
  <c r="AJ4" s="1"/>
  <c r="X8"/>
  <c r="AA8" s="1"/>
  <c r="T8"/>
  <c r="O12"/>
  <c r="X4"/>
  <c r="T4"/>
  <c r="O11"/>
  <c r="X13"/>
  <c r="AA13" s="1"/>
  <c r="T13"/>
  <c r="X5"/>
  <c r="AA5" s="1"/>
  <c r="T5"/>
  <c r="O8"/>
  <c r="O10"/>
  <c r="X12"/>
  <c r="AA12" s="1"/>
  <c r="T12"/>
  <c r="O9"/>
  <c r="X11"/>
  <c r="AA11" s="1"/>
  <c r="T11"/>
  <c r="X10"/>
  <c r="AA10" s="1"/>
  <c r="T10"/>
  <c r="O7"/>
  <c r="X9"/>
  <c r="AA9" s="1"/>
  <c r="T9"/>
  <c r="F12"/>
  <c r="H12" s="1"/>
  <c r="F8"/>
  <c r="H8" s="1"/>
  <c r="N6"/>
  <c r="L6" s="1"/>
  <c r="AJ6" s="1"/>
  <c r="P5"/>
  <c r="F5"/>
  <c r="F11"/>
  <c r="F7"/>
  <c r="F4"/>
  <c r="F10"/>
  <c r="F6"/>
  <c r="F13"/>
  <c r="F9"/>
  <c r="AK10" l="1"/>
  <c r="Q31"/>
  <c r="L31"/>
  <c r="Q33"/>
  <c r="L33"/>
  <c r="Q32"/>
  <c r="L32"/>
  <c r="Q34"/>
  <c r="L34"/>
  <c r="Q5"/>
  <c r="AD5" s="1"/>
  <c r="AK9"/>
  <c r="AK11"/>
  <c r="AK6"/>
  <c r="AK5"/>
  <c r="AK12"/>
  <c r="AK13"/>
  <c r="AK7"/>
  <c r="E12"/>
  <c r="G12" s="1"/>
  <c r="I12" s="1"/>
  <c r="AK4"/>
  <c r="AA4"/>
  <c r="AD4" s="1"/>
  <c r="H4"/>
  <c r="E4"/>
  <c r="G4" s="1"/>
  <c r="AK8"/>
  <c r="E8"/>
  <c r="G8" s="1"/>
  <c r="I8" s="1"/>
  <c r="L26"/>
  <c r="AM12" s="1"/>
  <c r="O26"/>
  <c r="Q26" s="1"/>
  <c r="L23"/>
  <c r="AM9" s="1"/>
  <c r="O23"/>
  <c r="Q23" s="1"/>
  <c r="O22"/>
  <c r="Q22" s="1"/>
  <c r="L22"/>
  <c r="AM8" s="1"/>
  <c r="L19"/>
  <c r="AM5" s="1"/>
  <c r="O19"/>
  <c r="Q19" s="1"/>
  <c r="O18"/>
  <c r="Q18" s="1"/>
  <c r="AG4" s="1"/>
  <c r="L18"/>
  <c r="AM4" s="1"/>
  <c r="L20"/>
  <c r="AM6" s="1"/>
  <c r="O20"/>
  <c r="Q20" s="1"/>
  <c r="L21"/>
  <c r="AM7" s="1"/>
  <c r="O21"/>
  <c r="Q21" s="1"/>
  <c r="D8" i="5" s="1"/>
  <c r="L24" i="1"/>
  <c r="AM10" s="1"/>
  <c r="O24"/>
  <c r="Q24" s="1"/>
  <c r="O27"/>
  <c r="Q27" s="1"/>
  <c r="L27"/>
  <c r="AM13" s="1"/>
  <c r="O25"/>
  <c r="Q25" s="1"/>
  <c r="L25"/>
  <c r="AM11" s="1"/>
  <c r="E13"/>
  <c r="G13" s="1"/>
  <c r="H13"/>
  <c r="E11"/>
  <c r="G11" s="1"/>
  <c r="H11"/>
  <c r="E5"/>
  <c r="G5" s="1"/>
  <c r="H5"/>
  <c r="N7"/>
  <c r="L7" s="1"/>
  <c r="AJ7" s="1"/>
  <c r="P6"/>
  <c r="Q6" s="1"/>
  <c r="AD6" s="1"/>
  <c r="E7"/>
  <c r="G7" s="1"/>
  <c r="H7"/>
  <c r="E9"/>
  <c r="G9" s="1"/>
  <c r="H9"/>
  <c r="E6"/>
  <c r="G6" s="1"/>
  <c r="H6"/>
  <c r="E10"/>
  <c r="G10" s="1"/>
  <c r="H10"/>
  <c r="I4" l="1"/>
  <c r="AE4" s="1"/>
  <c r="AG5"/>
  <c r="I9"/>
  <c r="I11"/>
  <c r="I5"/>
  <c r="AE5" s="1"/>
  <c r="I13"/>
  <c r="I10"/>
  <c r="I6"/>
  <c r="AE6" s="1"/>
  <c r="AG6"/>
  <c r="I7"/>
  <c r="D10" i="5" s="1"/>
  <c r="N8" i="1"/>
  <c r="L8" s="1"/>
  <c r="AJ8" s="1"/>
  <c r="P7"/>
  <c r="Q7" s="1"/>
  <c r="D122" i="29" l="1"/>
  <c r="F122" i="4" s="1"/>
  <c r="D128"/>
  <c r="AD7" i="1"/>
  <c r="D6" i="5"/>
  <c r="D122" i="30" s="1"/>
  <c r="D128" s="1"/>
  <c r="AG7" i="1"/>
  <c r="N9"/>
  <c r="L9" s="1"/>
  <c r="AJ9" s="1"/>
  <c r="P8"/>
  <c r="Q8" s="1"/>
  <c r="AG8" s="1"/>
  <c r="AE7"/>
  <c r="D122" i="28" l="1"/>
  <c r="D128" s="1"/>
  <c r="E128" i="4" s="1"/>
  <c r="D128" i="29"/>
  <c r="F128" i="4" s="1"/>
  <c r="AD8" i="1"/>
  <c r="AE8"/>
  <c r="N10"/>
  <c r="L10" s="1"/>
  <c r="AJ10" s="1"/>
  <c r="P9"/>
  <c r="Q9" s="1"/>
  <c r="AG9" s="1"/>
  <c r="E122" i="4" l="1"/>
  <c r="N11" i="1"/>
  <c r="L11" s="1"/>
  <c r="AJ11" s="1"/>
  <c r="P10"/>
  <c r="Q10" s="1"/>
  <c r="AG10" s="1"/>
  <c r="AD9"/>
  <c r="AE9"/>
  <c r="N12" l="1"/>
  <c r="L12" s="1"/>
  <c r="AJ12" s="1"/>
  <c r="P11"/>
  <c r="Q11" s="1"/>
  <c r="AG11" s="1"/>
  <c r="AD10"/>
  <c r="AE10"/>
  <c r="AD11" l="1"/>
  <c r="AE11"/>
  <c r="N13"/>
  <c r="P12"/>
  <c r="Q12" s="1"/>
  <c r="AG12" s="1"/>
  <c r="P13" l="1"/>
  <c r="Q13" s="1"/>
  <c r="AG13" s="1"/>
  <c r="L13"/>
  <c r="AJ13" s="1"/>
  <c r="AD12"/>
  <c r="AE12"/>
  <c r="AE13" l="1"/>
  <c r="AD13"/>
</calcChain>
</file>

<file path=xl/comments1.xml><?xml version="1.0" encoding="utf-8"?>
<comments xmlns="http://schemas.openxmlformats.org/spreadsheetml/2006/main">
  <authors>
    <author>Servicios Informáticos</author>
    <author>nerea</author>
  </authors>
  <commentList>
    <comment ref="C21" authorId="0">
      <text>
        <r>
          <rPr>
            <sz val="9"/>
            <color indexed="81"/>
            <rFont val="Tahoma"/>
            <charset val="1"/>
          </rPr>
          <t xml:space="preserve">No se consideran las estructuras ni otros sistemas constructivos bajo rasante ya que el empleo de la madera en ellos es infrecuente.
</t>
        </r>
      </text>
    </comment>
    <comment ref="C37" authorId="1">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40" authorId="1">
      <text>
        <r>
          <rPr>
            <sz val="9"/>
            <color indexed="81"/>
            <rFont val="Tahoma"/>
            <family val="2"/>
          </rPr>
          <t xml:space="preserve">COMPLETAR SOLO PARA EL CASO DE </t>
        </r>
        <r>
          <rPr>
            <b/>
            <sz val="10"/>
            <color indexed="81"/>
            <rFont val="Tahoma"/>
            <family val="2"/>
          </rPr>
          <t xml:space="preserve">EDIFICIOS DE VIVENDA </t>
        </r>
        <r>
          <rPr>
            <sz val="9"/>
            <color indexed="81"/>
            <rFont val="Tahoma"/>
            <family val="2"/>
          </rPr>
          <t xml:space="preserve">COLECTIVA
</t>
        </r>
      </text>
    </comment>
    <comment ref="C43"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LOS PAVIMIENTOS INTERIORES DE LAS VIVIENDAS.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48" authorId="1">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51" authorId="1">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54"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LOS REVESTIMIENTOS INTERIORES DE VIVIENDAS.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List>
</comments>
</file>

<file path=xl/comments2.xml><?xml version="1.0" encoding="utf-8"?>
<comments xmlns="http://schemas.openxmlformats.org/spreadsheetml/2006/main">
  <authors>
    <author>Servicios Informáticos</author>
    <author>nerea</author>
  </authors>
  <commentList>
    <comment ref="C37" authorId="0">
      <text>
        <r>
          <rPr>
            <sz val="9"/>
            <color indexed="81"/>
            <rFont val="Tahoma"/>
            <charset val="1"/>
          </rPr>
          <t xml:space="preserve">No se consideran las estructuras ni otros sistemas constructivos bajo rasante ya que el empleo de la madera en ellos es infrecuente.
</t>
        </r>
      </text>
    </comment>
    <comment ref="C86" authorId="1">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F86"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89" authorId="1">
      <text>
        <r>
          <rPr>
            <sz val="9"/>
            <color indexed="81"/>
            <rFont val="Tahoma"/>
            <family val="2"/>
          </rPr>
          <t xml:space="preserve">COMPLETAR SOLO PARA EL CASO DE </t>
        </r>
        <r>
          <rPr>
            <b/>
            <sz val="10"/>
            <color indexed="81"/>
            <rFont val="Tahoma"/>
            <family val="2"/>
          </rPr>
          <t xml:space="preserve">EDIFICIOS DE VIVENDA </t>
        </r>
        <r>
          <rPr>
            <sz val="9"/>
            <color indexed="81"/>
            <rFont val="Tahoma"/>
            <family val="2"/>
          </rPr>
          <t xml:space="preserve">COLECTIVA
</t>
        </r>
      </text>
    </comment>
    <comment ref="F89"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2"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LOS PAVIMIENTOS INTERIORES DE LAS VIVIENDAS.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2"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5"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5"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8"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8"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102" authorId="1">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5" authorId="1">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8"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LOS REVESTIMIENTOS INTERIORES DE VIVIENDAS.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1"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4" authorId="1">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F121" authorId="1">
      <text>
        <r>
          <rPr>
            <b/>
            <sz val="9"/>
            <color indexed="81"/>
            <rFont val="Tahoma"/>
            <charset val="1"/>
          </rPr>
          <t xml:space="preserve">DATOS DEL EDIFICIO ESTANDAR:
</t>
        </r>
        <r>
          <rPr>
            <sz val="9"/>
            <color indexed="81"/>
            <rFont val="Tahoma"/>
            <family val="2"/>
          </rPr>
          <t>- Estructura: Hormigón.
- Fachadas ventiladas: Cerámica gres porcelánico ≤ 1 cm.
- Carpinterías: Aluminio r.p.t.
- Aislamiento fachada: Lana mineral (80 kg/m3).
- Aislamiento cubierta: Lana mineral (150 kg/m3).
- Aislamiento suelo en contacto con el terreno o local no calefactado: Lana mineral (80 kg/m3).
- Pavimentos: Cerámica (gres) y laminados.
- Revestimientos interiores de paredes: Cerámica azulejos y pintura.</t>
        </r>
      </text>
    </comment>
  </commentList>
</comments>
</file>

<file path=xl/comments3.xml><?xml version="1.0" encoding="utf-8"?>
<comments xmlns="http://schemas.openxmlformats.org/spreadsheetml/2006/main">
  <authors>
    <author>nerea</author>
  </authors>
  <commentList>
    <comment ref="C86" authorId="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F86"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89" authorId="0">
      <text>
        <r>
          <rPr>
            <sz val="9"/>
            <color indexed="81"/>
            <rFont val="Tahoma"/>
            <family val="2"/>
          </rPr>
          <t xml:space="preserve">COMPLETAR SOLO PARA EL CASO DE </t>
        </r>
        <r>
          <rPr>
            <b/>
            <sz val="10"/>
            <color indexed="81"/>
            <rFont val="Tahoma"/>
            <family val="2"/>
          </rPr>
          <t xml:space="preserve">EDIFICIOS DE VIVENDA </t>
        </r>
        <r>
          <rPr>
            <sz val="9"/>
            <color indexed="81"/>
            <rFont val="Tahoma"/>
            <family val="2"/>
          </rPr>
          <t xml:space="preserve">COLECTIVA
</t>
        </r>
      </text>
    </comment>
    <comment ref="F89"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2"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2"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5"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5"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8"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8"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102" authorId="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5" authorId="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8"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1"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4"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List>
</comments>
</file>

<file path=xl/comments4.xml><?xml version="1.0" encoding="utf-8"?>
<comments xmlns="http://schemas.openxmlformats.org/spreadsheetml/2006/main">
  <authors>
    <author>nerea</author>
  </authors>
  <commentList>
    <comment ref="C86" authorId="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F86"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89" authorId="0">
      <text>
        <r>
          <rPr>
            <sz val="9"/>
            <color indexed="81"/>
            <rFont val="Tahoma"/>
            <family val="2"/>
          </rPr>
          <t xml:space="preserve">COMPLETAR SOLO PARA EL CASO DE </t>
        </r>
        <r>
          <rPr>
            <b/>
            <sz val="10"/>
            <color indexed="81"/>
            <rFont val="Tahoma"/>
            <family val="2"/>
          </rPr>
          <t xml:space="preserve">EDIFICIOS DE VIVENDA </t>
        </r>
        <r>
          <rPr>
            <sz val="9"/>
            <color indexed="81"/>
            <rFont val="Tahoma"/>
            <family val="2"/>
          </rPr>
          <t xml:space="preserve">COLECTIVA
</t>
        </r>
      </text>
    </comment>
    <comment ref="F89"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2"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2"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5"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5"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8"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8"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102" authorId="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5" authorId="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8"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1"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4"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List>
</comments>
</file>

<file path=xl/comments5.xml><?xml version="1.0" encoding="utf-8"?>
<comments xmlns="http://schemas.openxmlformats.org/spreadsheetml/2006/main">
  <authors>
    <author>nerea</author>
  </authors>
  <commentList>
    <comment ref="C86" authorId="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F86"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89" authorId="0">
      <text>
        <r>
          <rPr>
            <sz val="9"/>
            <color indexed="81"/>
            <rFont val="Tahoma"/>
            <family val="2"/>
          </rPr>
          <t xml:space="preserve">COMPLETAR SOLO PARA EL CASO DE </t>
        </r>
        <r>
          <rPr>
            <b/>
            <sz val="10"/>
            <color indexed="81"/>
            <rFont val="Tahoma"/>
            <family val="2"/>
          </rPr>
          <t xml:space="preserve">EDIFICIOS DE VIVENDA </t>
        </r>
        <r>
          <rPr>
            <sz val="9"/>
            <color indexed="81"/>
            <rFont val="Tahoma"/>
            <family val="2"/>
          </rPr>
          <t xml:space="preserve">COLECTIVA
</t>
        </r>
      </text>
    </comment>
    <comment ref="F89"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2"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2"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5"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5"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98"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F98"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PAVIMIENTOS INTERIORES.
- EN UN </t>
        </r>
        <r>
          <rPr>
            <b/>
            <sz val="9"/>
            <color indexed="81"/>
            <rFont val="Tahoma"/>
            <family val="2"/>
          </rPr>
          <t>EDIFICIO DE OTROS USOS</t>
        </r>
        <r>
          <rPr>
            <sz val="9"/>
            <color indexed="81"/>
            <rFont val="Tahoma"/>
            <family val="2"/>
          </rPr>
          <t xml:space="preserve"> PARA INTRODUCIR TODOS LOS DATOS DE TODOS LOS PAVIMENTOS INTERIORES QUE SE TENGAN.</t>
        </r>
      </text>
    </comment>
    <comment ref="C102" authorId="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5" authorId="0">
      <text>
        <r>
          <rPr>
            <sz val="9"/>
            <color indexed="81"/>
            <rFont val="Tahoma"/>
            <family val="2"/>
          </rPr>
          <t xml:space="preserve">COMPLETAR SOLO PARA EL CASO DE </t>
        </r>
        <r>
          <rPr>
            <b/>
            <sz val="10"/>
            <color indexed="81"/>
            <rFont val="Tahoma"/>
            <family val="2"/>
          </rPr>
          <t>EDIFICIOS DE VIVENDA</t>
        </r>
        <r>
          <rPr>
            <sz val="9"/>
            <color indexed="81"/>
            <rFont val="Tahoma"/>
            <family val="2"/>
          </rPr>
          <t xml:space="preserve"> COLECTIVA</t>
        </r>
      </text>
    </comment>
    <comment ref="C108"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1"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 ref="C114" authorId="0">
      <text>
        <r>
          <rPr>
            <sz val="9"/>
            <color indexed="81"/>
            <rFont val="Tahoma"/>
            <family val="2"/>
          </rPr>
          <t xml:space="preserve"> COMPLETAR ESTA CASILLA EN LOS SIGUIENTES CASOS:
- EN UN </t>
        </r>
        <r>
          <rPr>
            <b/>
            <sz val="9"/>
            <color indexed="81"/>
            <rFont val="Tahoma"/>
            <family val="2"/>
          </rPr>
          <t>EDIFICIO DE VIVIENDAS</t>
        </r>
        <r>
          <rPr>
            <sz val="9"/>
            <color indexed="81"/>
            <rFont val="Tahoma"/>
            <family val="2"/>
          </rPr>
          <t xml:space="preserve"> PARA INTRODUCIR EL RESTO DE REVESTIMIENTOS INTERIORES.
- EN UN </t>
        </r>
        <r>
          <rPr>
            <b/>
            <sz val="9"/>
            <color indexed="81"/>
            <rFont val="Tahoma"/>
            <family val="2"/>
          </rPr>
          <t>EDIFICIO DE OTROS USOS</t>
        </r>
        <r>
          <rPr>
            <sz val="9"/>
            <color indexed="81"/>
            <rFont val="Tahoma"/>
            <family val="2"/>
          </rPr>
          <t xml:space="preserve"> PARA INTRODUCIR TODOS LOS DATOS DE TODOS LOS REVESTIMIENTOS INTERIORES QUE SE TENGAN.</t>
        </r>
      </text>
    </comment>
  </commentList>
</comments>
</file>

<file path=xl/sharedStrings.xml><?xml version="1.0" encoding="utf-8"?>
<sst xmlns="http://schemas.openxmlformats.org/spreadsheetml/2006/main" count="1521" uniqueCount="626">
  <si>
    <t>hormigon</t>
  </si>
  <si>
    <t>acero</t>
  </si>
  <si>
    <t>Kg/m2</t>
  </si>
  <si>
    <t>hormigon de relleno</t>
  </si>
  <si>
    <t>acero forjado colaborante</t>
  </si>
  <si>
    <t>Hormigón armado</t>
  </si>
  <si>
    <t xml:space="preserve">Hormigón </t>
  </si>
  <si>
    <t>Acero</t>
  </si>
  <si>
    <t>Hormigón</t>
  </si>
  <si>
    <t>cuantia</t>
  </si>
  <si>
    <t>Total</t>
  </si>
  <si>
    <t>hormigón</t>
  </si>
  <si>
    <t>kg CO2 equi/kg</t>
  </si>
  <si>
    <t>madera laminada</t>
  </si>
  <si>
    <t xml:space="preserve">madera laminada </t>
  </si>
  <si>
    <t>kg/m2</t>
  </si>
  <si>
    <t>kg CO2 equi/m2</t>
  </si>
  <si>
    <t>acero corrugado</t>
  </si>
  <si>
    <t>CLT</t>
  </si>
  <si>
    <t>acero laminado en caliente</t>
  </si>
  <si>
    <t>acero laminado en frio</t>
  </si>
  <si>
    <t>numero plantas</t>
  </si>
  <si>
    <t>forjado CLT</t>
  </si>
  <si>
    <t>total</t>
  </si>
  <si>
    <t>madera</t>
  </si>
  <si>
    <t>CO2 equiv. Acero normalizado</t>
  </si>
  <si>
    <t>CO2 equiv. Hormigón normalizado</t>
  </si>
  <si>
    <t>Piedra natural</t>
  </si>
  <si>
    <t>Mortero agarre</t>
  </si>
  <si>
    <t>Antiimpacto</t>
  </si>
  <si>
    <t>Terrazo bicapa</t>
  </si>
  <si>
    <t>Terrazo</t>
  </si>
  <si>
    <t>Antimpacto</t>
  </si>
  <si>
    <t>Cerámica (gres)</t>
  </si>
  <si>
    <t>Baldosa</t>
  </si>
  <si>
    <t>Adhesivo cementoso</t>
  </si>
  <si>
    <t>Capa reparto</t>
  </si>
  <si>
    <t>Paviemento</t>
  </si>
  <si>
    <t>Componentes Resvestimeinto de suelo</t>
  </si>
  <si>
    <t>Tarima</t>
  </si>
  <si>
    <t>Rastrel</t>
  </si>
  <si>
    <t>Parquet pegado</t>
  </si>
  <si>
    <t>Tabla</t>
  </si>
  <si>
    <t>Parquet flotante multicapa</t>
  </si>
  <si>
    <t>Parquet</t>
  </si>
  <si>
    <t>Polietileno espumado</t>
  </si>
  <si>
    <t>Linoleo</t>
  </si>
  <si>
    <t>Adhesivo</t>
  </si>
  <si>
    <t>Corcho</t>
  </si>
  <si>
    <t>Laminados</t>
  </si>
  <si>
    <t>Laminado</t>
  </si>
  <si>
    <t>m</t>
  </si>
  <si>
    <t>densidad</t>
  </si>
  <si>
    <t>origen dato</t>
  </si>
  <si>
    <t>kg CO2 equv/kg</t>
  </si>
  <si>
    <t>Kg/m3</t>
  </si>
  <si>
    <t>kg</t>
  </si>
  <si>
    <t>CEC</t>
  </si>
  <si>
    <t>ICE</t>
  </si>
  <si>
    <t>ver calculos  mediciones proyecto ACV</t>
  </si>
  <si>
    <t>Danosa</t>
  </si>
  <si>
    <t>kg CO2 equ/m2</t>
  </si>
  <si>
    <t>Piedra (granito)</t>
  </si>
  <si>
    <t>Encolado(poliuretano)</t>
  </si>
  <si>
    <t>barniz poliuretano</t>
  </si>
  <si>
    <t>catalogo</t>
  </si>
  <si>
    <t>General plastic</t>
  </si>
  <si>
    <t>Adhesivo parquet poliuretano</t>
  </si>
  <si>
    <t>m2/cubeta</t>
  </si>
  <si>
    <t>sika bond t 35</t>
  </si>
  <si>
    <t>sika bond t 55 us</t>
  </si>
  <si>
    <t>l/cubeta</t>
  </si>
  <si>
    <t>k/l</t>
  </si>
  <si>
    <t>l/m2</t>
  </si>
  <si>
    <t>k/m2</t>
  </si>
  <si>
    <t>Mortero recrecidos</t>
  </si>
  <si>
    <t>Datos según DAP de weber recrecido ligero de microhormigón</t>
  </si>
  <si>
    <t>Voy a tomar para recrecidos una densidad menor: 1400</t>
  </si>
  <si>
    <t>m3</t>
  </si>
  <si>
    <t>kg CO2 eq</t>
  </si>
  <si>
    <t>Mantengo la energía embebida correspondiente al mortero</t>
  </si>
  <si>
    <t>kg/m3</t>
  </si>
  <si>
    <t>media comercial</t>
  </si>
  <si>
    <t>Rastreles tarima</t>
  </si>
  <si>
    <t>por m2</t>
  </si>
  <si>
    <t>separados 30 cm de dimendiones 50x25</t>
  </si>
  <si>
    <t>Unidades</t>
  </si>
  <si>
    <t>m2</t>
  </si>
  <si>
    <t>Sup m2</t>
  </si>
  <si>
    <t>l</t>
  </si>
  <si>
    <t>https://www.aeim.org/index.php/clasificacion-de-maderas-comerciales-segun-sus-caracteristicas/</t>
  </si>
  <si>
    <t xml:space="preserve">ver calculos  </t>
  </si>
  <si>
    <t>No hay DAP de parquet multicapa.</t>
  </si>
  <si>
    <t>Parquet multicapa. Claculo aproximado ya que no hay dap y no figura en ICE</t>
  </si>
  <si>
    <t>Capa noble roble</t>
  </si>
  <si>
    <t>mm</t>
  </si>
  <si>
    <t>Capa listines pino</t>
  </si>
  <si>
    <t>Capa inferior pino</t>
  </si>
  <si>
    <t>e</t>
  </si>
  <si>
    <t>Pav vinilico</t>
  </si>
  <si>
    <t>PVC</t>
  </si>
  <si>
    <t>espesor forbo</t>
  </si>
  <si>
    <t>Barniz</t>
  </si>
  <si>
    <t>como madera</t>
  </si>
  <si>
    <t>Proyecto</t>
  </si>
  <si>
    <t>Autor</t>
  </si>
  <si>
    <t>ESTRUCTURA</t>
  </si>
  <si>
    <t>TIPO DE ESTRUCTURA</t>
  </si>
  <si>
    <t>PAVIMENTOS</t>
  </si>
  <si>
    <t xml:space="preserve">REVESTIMIENTOS INTERIORES DE PAREDES </t>
  </si>
  <si>
    <t>RESULTADOS</t>
  </si>
  <si>
    <t>REVESTIMIENTOS INTERIORES DE PAREDES</t>
  </si>
  <si>
    <t>Pintura</t>
  </si>
  <si>
    <t>Tablero de madera</t>
  </si>
  <si>
    <t xml:space="preserve">Tablero fenólico </t>
  </si>
  <si>
    <t xml:space="preserve">CARPINTERÍAS </t>
  </si>
  <si>
    <t>Madera</t>
  </si>
  <si>
    <t>Aluminio r.p.t.</t>
  </si>
  <si>
    <t>Tablero fenólico</t>
  </si>
  <si>
    <t>Piedra</t>
  </si>
  <si>
    <t>INTRODUCCIÓN DE DATOS</t>
  </si>
  <si>
    <t>TIPO DE EDIFICIO</t>
  </si>
  <si>
    <t>Edificio de viviendas</t>
  </si>
  <si>
    <t>Fachada tipo 1. Revestimiento exterior</t>
  </si>
  <si>
    <t>Fachada tipo 2. Revestimiento exterior</t>
  </si>
  <si>
    <t>Fachada tipo 3. Revestimiento exterior</t>
  </si>
  <si>
    <t>m2 revestimiento tipo 1</t>
  </si>
  <si>
    <t>Tarima flotante de madera</t>
  </si>
  <si>
    <t>Material</t>
  </si>
  <si>
    <t>REVESTIMIENTO DE FACHADAS VENTILADAS</t>
  </si>
  <si>
    <t>Tabla de madera</t>
  </si>
  <si>
    <t>Pilares</t>
  </si>
  <si>
    <t>Vigas</t>
  </si>
  <si>
    <t>CLT vertical</t>
  </si>
  <si>
    <t>CLT vertcal</t>
  </si>
  <si>
    <t>peso total madera</t>
  </si>
  <si>
    <t>total CLT</t>
  </si>
  <si>
    <t>Total lamianda porticos</t>
  </si>
  <si>
    <t>Total hormigón</t>
  </si>
  <si>
    <t>total acero</t>
  </si>
  <si>
    <t>madera porticos</t>
  </si>
  <si>
    <t>CO2 equiv. CLT normalizado</t>
  </si>
  <si>
    <t>peso estructura hormigón normalizado</t>
  </si>
  <si>
    <t>peso estructura acero normalizado</t>
  </si>
  <si>
    <t>Adhesivo PVC-linoleo</t>
  </si>
  <si>
    <t>Kg CO2 equ/m2</t>
  </si>
  <si>
    <t>peso adhesivo 0,25 kg/m2</t>
  </si>
  <si>
    <t>Pavimento laminado</t>
  </si>
  <si>
    <t>Revestimiento</t>
  </si>
  <si>
    <t>Azulejo</t>
  </si>
  <si>
    <t>Pintura plastica</t>
  </si>
  <si>
    <t>Tablero</t>
  </si>
  <si>
    <t>Entrastrelado</t>
  </si>
  <si>
    <t>Enrastrelado</t>
  </si>
  <si>
    <t xml:space="preserve"> </t>
  </si>
  <si>
    <t>Densidad de dap porcelanosa</t>
  </si>
  <si>
    <t>PAVIMENTOS INTERIORES</t>
  </si>
  <si>
    <t>Fachada tipo 4. Revestimiento exterior</t>
  </si>
  <si>
    <t>Fachada tipo 5. Revestimiento exterior</t>
  </si>
  <si>
    <t>Pavimento tipo 2</t>
  </si>
  <si>
    <t>Pavimento tipo 3</t>
  </si>
  <si>
    <t>Pavimento tipo 5</t>
  </si>
  <si>
    <t>Pavimento tipo 6</t>
  </si>
  <si>
    <t>Pavimento tipo 7</t>
  </si>
  <si>
    <t>Pavimento tipo 8</t>
  </si>
  <si>
    <r>
      <t>m</t>
    </r>
    <r>
      <rPr>
        <vertAlign val="superscript"/>
        <sz val="11"/>
        <color theme="1"/>
        <rFont val="Calibri"/>
        <family val="2"/>
        <scheme val="minor"/>
      </rPr>
      <t>2</t>
    </r>
    <r>
      <rPr>
        <sz val="11"/>
        <color theme="1"/>
        <rFont val="Calibri"/>
        <family val="2"/>
        <scheme val="minor"/>
      </rPr>
      <t xml:space="preserve"> pavimento tipo 1</t>
    </r>
  </si>
  <si>
    <r>
      <t>m</t>
    </r>
    <r>
      <rPr>
        <vertAlign val="superscript"/>
        <sz val="11"/>
        <color theme="1"/>
        <rFont val="Calibri"/>
        <family val="2"/>
        <scheme val="minor"/>
      </rPr>
      <t>2</t>
    </r>
    <r>
      <rPr>
        <sz val="11"/>
        <color theme="1"/>
        <rFont val="Calibri"/>
        <family val="2"/>
        <scheme val="minor"/>
      </rPr>
      <t xml:space="preserve"> fachada tipo 1</t>
    </r>
  </si>
  <si>
    <r>
      <t>m</t>
    </r>
    <r>
      <rPr>
        <vertAlign val="superscript"/>
        <sz val="11"/>
        <color theme="1"/>
        <rFont val="Calibri"/>
        <family val="2"/>
        <scheme val="minor"/>
      </rPr>
      <t>2</t>
    </r>
    <r>
      <rPr>
        <sz val="11"/>
        <color theme="1"/>
        <rFont val="Calibri"/>
        <family val="2"/>
        <scheme val="minor"/>
      </rPr>
      <t xml:space="preserve"> fachada tipo 2</t>
    </r>
  </si>
  <si>
    <r>
      <t>m</t>
    </r>
    <r>
      <rPr>
        <vertAlign val="superscript"/>
        <sz val="11"/>
        <color theme="1"/>
        <rFont val="Calibri"/>
        <family val="2"/>
        <scheme val="minor"/>
      </rPr>
      <t>2</t>
    </r>
    <r>
      <rPr>
        <sz val="11"/>
        <color theme="1"/>
        <rFont val="Calibri"/>
        <family val="2"/>
        <scheme val="minor"/>
      </rPr>
      <t xml:space="preserve"> fachada tipo 3</t>
    </r>
  </si>
  <si>
    <r>
      <t>m</t>
    </r>
    <r>
      <rPr>
        <vertAlign val="superscript"/>
        <sz val="11"/>
        <color theme="1"/>
        <rFont val="Calibri"/>
        <family val="2"/>
        <scheme val="minor"/>
      </rPr>
      <t>2</t>
    </r>
    <r>
      <rPr>
        <sz val="11"/>
        <color theme="1"/>
        <rFont val="Calibri"/>
        <family val="2"/>
        <scheme val="minor"/>
      </rPr>
      <t xml:space="preserve"> fachada tipo 5</t>
    </r>
  </si>
  <si>
    <r>
      <t>m</t>
    </r>
    <r>
      <rPr>
        <vertAlign val="superscript"/>
        <sz val="11"/>
        <color theme="1"/>
        <rFont val="Calibri"/>
        <family val="2"/>
        <scheme val="minor"/>
      </rPr>
      <t>2</t>
    </r>
    <r>
      <rPr>
        <sz val="11"/>
        <color theme="1"/>
        <rFont val="Calibri"/>
        <family val="2"/>
        <scheme val="minor"/>
      </rPr>
      <t xml:space="preserve"> fachada tipo 4</t>
    </r>
  </si>
  <si>
    <t>Tipo de edificio</t>
  </si>
  <si>
    <t>Fecha</t>
  </si>
  <si>
    <t>FACHADAS VENTILADAS</t>
  </si>
  <si>
    <t>Revestimiento tipo 2</t>
  </si>
  <si>
    <t>Revestimiento tipo 3</t>
  </si>
  <si>
    <t>m2 revestimiento tipo 2</t>
  </si>
  <si>
    <t>m2 revestimiento tipo 3</t>
  </si>
  <si>
    <t>LISTA</t>
  </si>
  <si>
    <t>TIPOLOGÍAS</t>
  </si>
  <si>
    <t>peso total estructura</t>
  </si>
  <si>
    <t>NÚMERO DE PLANTAS</t>
  </si>
  <si>
    <r>
      <t>FACTOR [kg CO</t>
    </r>
    <r>
      <rPr>
        <b/>
        <vertAlign val="subscript"/>
        <sz val="11"/>
        <color theme="1"/>
        <rFont val="Calibri"/>
        <family val="2"/>
        <scheme val="minor"/>
      </rPr>
      <t>2</t>
    </r>
    <r>
      <rPr>
        <b/>
        <sz val="11"/>
        <color theme="1"/>
        <rFont val="Calibri"/>
        <family val="2"/>
        <scheme val="minor"/>
      </rPr>
      <t xml:space="preserve"> equi/m</t>
    </r>
    <r>
      <rPr>
        <b/>
        <vertAlign val="superscript"/>
        <sz val="11"/>
        <color theme="1"/>
        <rFont val="Calibri"/>
        <family val="2"/>
        <scheme val="minor"/>
      </rPr>
      <t>2</t>
    </r>
    <r>
      <rPr>
        <b/>
        <sz val="11"/>
        <color theme="1"/>
        <rFont val="Calibri"/>
        <family val="2"/>
        <scheme val="minor"/>
      </rPr>
      <t>]</t>
    </r>
  </si>
  <si>
    <t>Cerámica I (gres)</t>
  </si>
  <si>
    <t>Cerámica III (azulejo)</t>
  </si>
  <si>
    <t>3 capas pintura plástica disuelta en agua</t>
  </si>
  <si>
    <t>Adhesivo cementoso cerámica</t>
  </si>
  <si>
    <t>No utilizo el espesor como referencia para el claculo del ACV, sino el rendimeinto del material.</t>
  </si>
  <si>
    <t>El espesor lo consirero 1 cm de cara al diseño del elemenro</t>
  </si>
  <si>
    <t>Valores rendimeinto según MAPEI</t>
  </si>
  <si>
    <t>uso</t>
  </si>
  <si>
    <t>espesor</t>
  </si>
  <si>
    <t>llana</t>
  </si>
  <si>
    <t>Adelsilex P4</t>
  </si>
  <si>
    <t>3-20 mm</t>
  </si>
  <si>
    <t>Piedra  ceramica</t>
  </si>
  <si>
    <t>6-10 mm</t>
  </si>
  <si>
    <t>Asesilex P7</t>
  </si>
  <si>
    <t>cerámica</t>
  </si>
  <si>
    <t>menor 15 mm</t>
  </si>
  <si>
    <t>4,5,6,10</t>
  </si>
  <si>
    <t>Asesilex P9</t>
  </si>
  <si>
    <t>5 mm o menos</t>
  </si>
  <si>
    <t>4,5,6</t>
  </si>
  <si>
    <t>Pavimentos y paredes</t>
  </si>
  <si>
    <t>solo pavimentos</t>
  </si>
  <si>
    <t>Asesilex P9 expres</t>
  </si>
  <si>
    <t>4,5,6,8,10</t>
  </si>
  <si>
    <t>Uso 5 kg/m2</t>
  </si>
  <si>
    <t>Cálculo enrastrelado</t>
  </si>
  <si>
    <t>Datos estraisos de parlex</t>
  </si>
  <si>
    <t>Panel de 10 mm</t>
  </si>
  <si>
    <t>Sección</t>
  </si>
  <si>
    <t xml:space="preserve">Separación rastrele verticaless </t>
  </si>
  <si>
    <t>Dos paneles de suelo a techo</t>
  </si>
  <si>
    <t>Rastrele hotizontales 3 ud por 3 m de altura m2</t>
  </si>
  <si>
    <t>Secccion</t>
  </si>
  <si>
    <t>verticales</t>
  </si>
  <si>
    <t>Horizontales</t>
  </si>
  <si>
    <t>Densidad madera</t>
  </si>
  <si>
    <t>Total kg/m2</t>
  </si>
  <si>
    <t>Tableros</t>
  </si>
  <si>
    <t>OSB</t>
  </si>
  <si>
    <t>MDF</t>
  </si>
  <si>
    <t>Contrachapado</t>
  </si>
  <si>
    <t>Timber - Average of all data - No Carbon Storage</t>
  </si>
  <si>
    <t>Timber, Chipboard - No Carbon Storage</t>
  </si>
  <si>
    <t>Timber, Closed panel timber frame system - No Carbon Storage</t>
  </si>
  <si>
    <t>Timber, CLT - No Carbon Storage</t>
  </si>
  <si>
    <t>Timber, Fibreboard - No Carbon Storage</t>
  </si>
  <si>
    <t>Timber, Glulam - No Carbon Storage</t>
  </si>
  <si>
    <t>Timber, Hardboard - No Carbon Storage</t>
  </si>
  <si>
    <t>Timber, Hardwood - No Carbon Storage</t>
  </si>
  <si>
    <t>Timber, Laminate - No Carbon Storage</t>
  </si>
  <si>
    <t>Timber, Laminated strand lumber - No Carbon Storage</t>
  </si>
  <si>
    <t>Timber, Laminated veneer lumber - No Carbon Storage</t>
  </si>
  <si>
    <t>Timber, MDF - No Carbon Storage</t>
  </si>
  <si>
    <t>Timber, Open panel timber frame system - No Carbon Storage</t>
  </si>
  <si>
    <t>Timber, OSB - No Carbon Storage</t>
  </si>
  <si>
    <t>Timber, Parquet - No Carbon Storage</t>
  </si>
  <si>
    <t>Timber, Particle Board - No Carbon Storage</t>
  </si>
  <si>
    <t>Timber, Plywood - No Carbon Storage</t>
  </si>
  <si>
    <t>Timber, Softwood - No Carbon Storage</t>
  </si>
  <si>
    <t>Timber, Wood I-Beam - No Carbon Storage</t>
  </si>
  <si>
    <t>Timber, Wood-plastic composite - No Carbon Storage</t>
  </si>
  <si>
    <t>Madera - Promedio de todos los datos - Sin almacenamiento de carbono</t>
  </si>
  <si>
    <t>Madera, aglomerado - Sin almacenamiento de carbono</t>
  </si>
  <si>
    <t>Madera, sistema de marco de madera de panel cerrado - Sin almacenamiento de carbono</t>
  </si>
  <si>
    <t>Madera, CLT - Sin almacenamiento de carbono</t>
  </si>
  <si>
    <t>Madera, Tablero de fibras - Sin almacenamiento de carbono</t>
  </si>
  <si>
    <t>Madera, tableros duros: sin almacenamiento de carbono</t>
  </si>
  <si>
    <t>Madera, madera dura: sin almacenamiento de carbono</t>
  </si>
  <si>
    <t>Madera, laminada: sin almacenamiento de carbono</t>
  </si>
  <si>
    <t>Madera, madera laminada, sin almacenamiento de carbono</t>
  </si>
  <si>
    <t>Madera, chapa de madera laminada - Sin almacenamiento de carbono</t>
  </si>
  <si>
    <t>Madera, MDF - Sin almacenamiento de carbono</t>
  </si>
  <si>
    <t>Madera, sistema de marco de madera de panel abierto - Sin almacenamiento de carbono</t>
  </si>
  <si>
    <t>Madera, OSB: sin almacenamiento de carbono</t>
  </si>
  <si>
    <t>Madera, parquet: sin almacenamiento de carbono</t>
  </si>
  <si>
    <t>Madera, Tablero de partículas - Sin almacenamiento de carbono</t>
  </si>
  <si>
    <t>Madera, madera contrachapada: sin almacenamiento de carbono</t>
  </si>
  <si>
    <t>Madera, madera blanda: sin almacenamiento de carbono</t>
  </si>
  <si>
    <t>Madera, viga en I de madera: sin almacenamiento de carbono</t>
  </si>
  <si>
    <t>Madera, compuesto de madera y plástico - Sin almacenamiento de carbono</t>
  </si>
  <si>
    <t>Madera, madera laminada - Sin almacenamiento de carbono</t>
  </si>
  <si>
    <t>Acabado</t>
  </si>
  <si>
    <t>suponfo un barniz como el del suelo de poliuretano</t>
  </si>
  <si>
    <t>Madera maciza</t>
  </si>
  <si>
    <t>calculos</t>
  </si>
  <si>
    <t>EPD internacional prodema y parlex</t>
  </si>
  <si>
    <t>Cerámica azulejo</t>
  </si>
  <si>
    <t>Cerámica gres</t>
  </si>
  <si>
    <t>Fachada ventilada</t>
  </si>
  <si>
    <t>Componentes Fachada ventilada</t>
  </si>
  <si>
    <t>Subestrutura madera</t>
  </si>
  <si>
    <t>Cerámica hueca</t>
  </si>
  <si>
    <t>Panel cerámico</t>
  </si>
  <si>
    <t>Subestructura aluminio</t>
  </si>
  <si>
    <t>Piedra ancl. puntual</t>
  </si>
  <si>
    <t>Anclaje acero inox</t>
  </si>
  <si>
    <t>Panel AL-PE-AL</t>
  </si>
  <si>
    <t>Panel</t>
  </si>
  <si>
    <t>Subestrutura</t>
  </si>
  <si>
    <t xml:space="preserve">Facahda ventilada </t>
  </si>
  <si>
    <t>ceramica</t>
  </si>
  <si>
    <t>Frontec Datos dite</t>
  </si>
  <si>
    <t>media</t>
  </si>
  <si>
    <t>sección</t>
  </si>
  <si>
    <t>peso ud</t>
  </si>
  <si>
    <t>g/cm3</t>
  </si>
  <si>
    <t>g</t>
  </si>
  <si>
    <t>mensulas</t>
  </si>
  <si>
    <t>Perfiles verticales</t>
  </si>
  <si>
    <t>kg/m</t>
  </si>
  <si>
    <t>aluminio 6063</t>
  </si>
  <si>
    <t>densidad 2,7</t>
  </si>
  <si>
    <t>perfiles horizontales</t>
  </si>
  <si>
    <t>aluminio 6064</t>
  </si>
  <si>
    <t>densidad 2,8</t>
  </si>
  <si>
    <t>perfiles hor. coronación y arranque</t>
  </si>
  <si>
    <t>aluminio 6065</t>
  </si>
  <si>
    <t>densidad 2,9</t>
  </si>
  <si>
    <t>Subestructura para 1 metro de fahada de forjado a forjado con piezas de 800x405x19,5. Distancia entre ménsulas fijación: 3,10 m</t>
  </si>
  <si>
    <t>ud</t>
  </si>
  <si>
    <t>kg/ud</t>
  </si>
  <si>
    <t>longitud</t>
  </si>
  <si>
    <t>peso total</t>
  </si>
  <si>
    <t>mensulas retencióan</t>
  </si>
  <si>
    <t>perfiles verticales</t>
  </si>
  <si>
    <t>Suma</t>
  </si>
  <si>
    <t>perfilería por metro cuadrado fachada</t>
  </si>
  <si>
    <t>Fachada trespa meteon DIT</t>
  </si>
  <si>
    <t xml:space="preserve"> 2 mensulas /m2</t>
  </si>
  <si>
    <t>M3</t>
  </si>
  <si>
    <t>cm3</t>
  </si>
  <si>
    <t>Densidad aluminio 2,7 g/cm3</t>
  </si>
  <si>
    <t>Peso</t>
  </si>
  <si>
    <t>mm2</t>
  </si>
  <si>
    <t xml:space="preserve">Montantes por m2 </t>
  </si>
  <si>
    <t>Facchada piedra con anclajes puntuales</t>
  </si>
  <si>
    <t>Piezas de 40x60x3</t>
  </si>
  <si>
    <t>Numero ancaljes /m2</t>
  </si>
  <si>
    <t xml:space="preserve">Varilla diametro 10 mm </t>
  </si>
  <si>
    <t xml:space="preserve">longitud </t>
  </si>
  <si>
    <t>Volumen</t>
  </si>
  <si>
    <t>Densidad</t>
  </si>
  <si>
    <t>en lugar de tratamiento a poro abioerto se consisera barniz para exterioes</t>
  </si>
  <si>
    <t>Fachada madera</t>
  </si>
  <si>
    <t xml:space="preserve">tablas de </t>
  </si>
  <si>
    <t>Montante vertical fijación tablas horizontales</t>
  </si>
  <si>
    <t>a 60 cm</t>
  </si>
  <si>
    <t>Montante horizontal fijaciónaislamiento y montantes verticales</t>
  </si>
  <si>
    <t>peso</t>
  </si>
  <si>
    <t>Fachada AL-PE-AL</t>
  </si>
  <si>
    <t>Sistema sencillo remachado</t>
  </si>
  <si>
    <t>Anclaje visto remachado</t>
  </si>
  <si>
    <t>Protección preventiva</t>
  </si>
  <si>
    <t>Xilacel al agua</t>
  </si>
  <si>
    <t>200 cm3/m2</t>
  </si>
  <si>
    <t>total en varias capas</t>
  </si>
  <si>
    <t>R</t>
  </si>
  <si>
    <t>Rendimeinto</t>
  </si>
  <si>
    <t>1,01 g/cm3</t>
  </si>
  <si>
    <t>g/m2</t>
  </si>
  <si>
    <t>Protección subes.</t>
  </si>
  <si>
    <t>m2 subestructura vertical</t>
  </si>
  <si>
    <t>m2 subestructura horizontal</t>
  </si>
  <si>
    <t>Proteccion a poro abierto</t>
  </si>
  <si>
    <t>Protección tablas</t>
  </si>
  <si>
    <t>Fondo</t>
  </si>
  <si>
    <t>Protector</t>
  </si>
  <si>
    <t>Super</t>
  </si>
  <si>
    <t>Kilos/m2</t>
  </si>
  <si>
    <t>Protección enrastrelado</t>
  </si>
  <si>
    <t>Superficie rastreles ver</t>
  </si>
  <si>
    <t>superficie rastreles hot</t>
  </si>
  <si>
    <t>Tratameinto</t>
  </si>
  <si>
    <t>superficie rastreles</t>
  </si>
  <si>
    <t>m2/m2</t>
  </si>
  <si>
    <t>Kg tratameinto /m2</t>
  </si>
  <si>
    <t>Tratameinto rastreles</t>
  </si>
  <si>
    <t>Teratamiento tarima</t>
  </si>
  <si>
    <t>Tratamiento fondo tarima</t>
  </si>
  <si>
    <t>Superficie tarima</t>
  </si>
  <si>
    <t>Kg/tratamiento</t>
  </si>
  <si>
    <t>Trataeminto parquet</t>
  </si>
  <si>
    <t>considero la misma subestructura que para trespa</t>
  </si>
  <si>
    <t>Datos para ventanas</t>
  </si>
  <si>
    <t>Casa comercial</t>
  </si>
  <si>
    <t>Ventana</t>
  </si>
  <si>
    <t>Vidrio</t>
  </si>
  <si>
    <t>UF</t>
  </si>
  <si>
    <t>Peso total</t>
  </si>
  <si>
    <t>Peso AL</t>
  </si>
  <si>
    <t>Peso Vidrio</t>
  </si>
  <si>
    <t>Peso PVC</t>
  </si>
  <si>
    <t>Peso madera</t>
  </si>
  <si>
    <t>Peso acero</t>
  </si>
  <si>
    <t>kg CO2 equi/uf</t>
  </si>
  <si>
    <t>EXLAVESA</t>
  </si>
  <si>
    <t>1,23*1,48</t>
  </si>
  <si>
    <t>doble</t>
  </si>
  <si>
    <t>1 ventana i/vidrio</t>
  </si>
  <si>
    <t>aluminio</t>
  </si>
  <si>
    <t>WICONA 1</t>
  </si>
  <si>
    <t>WICONA 2</t>
  </si>
  <si>
    <t>Kommerling</t>
  </si>
  <si>
    <t>ventan+vidrio+persiana</t>
  </si>
  <si>
    <t>rehau</t>
  </si>
  <si>
    <t>peso varios</t>
  </si>
  <si>
    <t>profine</t>
  </si>
  <si>
    <t>triple</t>
  </si>
  <si>
    <t>sectorial 1 españa</t>
  </si>
  <si>
    <t>sectorial 2 españa</t>
  </si>
  <si>
    <t>kg COS eq/m2</t>
  </si>
  <si>
    <t>1 m2</t>
  </si>
  <si>
    <t>,88*1,28</t>
  </si>
  <si>
    <t>perimetro</t>
  </si>
  <si>
    <t>Relación</t>
  </si>
  <si>
    <t>Ventana aluminio</t>
  </si>
  <si>
    <t>Ventana PVC</t>
  </si>
  <si>
    <t>Ventan madera</t>
  </si>
  <si>
    <t>Calculo según bath</t>
  </si>
  <si>
    <t>ventana 1,</t>
  </si>
  <si>
    <t>calculo bath</t>
  </si>
  <si>
    <t>(ventana 1,23*1,28)</t>
  </si>
  <si>
    <t>glass</t>
  </si>
  <si>
    <t>PROMEDIO</t>
  </si>
  <si>
    <t>kg CO2 eq/uf</t>
  </si>
  <si>
    <t>total bath</t>
  </si>
  <si>
    <t>Dap</t>
  </si>
  <si>
    <t>mediakg CO2 eq/uf</t>
  </si>
  <si>
    <t>normalizado media</t>
  </si>
  <si>
    <t>mediakg CO2 eq/m2</t>
  </si>
  <si>
    <t>EDIFICIO DE PROYECTO</t>
  </si>
  <si>
    <t>Pórticos de madera</t>
  </si>
  <si>
    <t>m2 de carpintería tipo 1</t>
  </si>
  <si>
    <t>m2 de carpintería tipo 2</t>
  </si>
  <si>
    <t>m2 de carpintería tipo 3</t>
  </si>
  <si>
    <t xml:space="preserve">Número de plantas de uso vivienda </t>
  </si>
  <si>
    <t>Número de plantas (incluida la planta baja)</t>
  </si>
  <si>
    <t>SI EL PROYECTO ES UN EDIFICIO DE VIVIENDAS - COMPLETAR:</t>
  </si>
  <si>
    <t>SI EL PROYECTO ES UN EDIFICIO DE OTROS USOS - COMPLETAR:</t>
  </si>
  <si>
    <t>Edificio de otros usos</t>
  </si>
  <si>
    <t>Superficie planta 2</t>
  </si>
  <si>
    <t>Superficie planta 3</t>
  </si>
  <si>
    <t>Superficie planta 4</t>
  </si>
  <si>
    <t>Superficie planta 5</t>
  </si>
  <si>
    <t>Superficie planta 6</t>
  </si>
  <si>
    <t>Superficie planta 7</t>
  </si>
  <si>
    <t>Superficie planta 8</t>
  </si>
  <si>
    <t>Superficie planta 9</t>
  </si>
  <si>
    <t>SUPERFICIE TOTAL</t>
  </si>
  <si>
    <t>AISLAMIENTO</t>
  </si>
  <si>
    <t>EPS</t>
  </si>
  <si>
    <t>Lana mineral</t>
  </si>
  <si>
    <t xml:space="preserve">Fibra de madera </t>
  </si>
  <si>
    <t>m2 de aislamiento tipo 1</t>
  </si>
  <si>
    <t>m2 de aislamiento tipo 2</t>
  </si>
  <si>
    <t>m2 de aislamiento tipo 3</t>
  </si>
  <si>
    <t xml:space="preserve">Zona climática </t>
  </si>
  <si>
    <t>A</t>
  </si>
  <si>
    <t>B</t>
  </si>
  <si>
    <t>C</t>
  </si>
  <si>
    <t>D</t>
  </si>
  <si>
    <t>E</t>
  </si>
  <si>
    <t>Tipo de estructura sobre rasante</t>
  </si>
  <si>
    <r>
      <t>ESTRUCTURA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</si>
  <si>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r>
      <t>FACHADAS VENTILADAS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</si>
  <si>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r>
      <t>PAVIMENTOS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</si>
  <si>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r>
      <t>CARPINTERÍAS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</si>
  <si>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r>
      <t>RESULTADOS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</si>
  <si>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r>
      <t>AISLAMIENTO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</si>
  <si>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t>ZONA CLIMÁTICA</t>
  </si>
  <si>
    <t>Muros y suelos en contacto con el aire exterior</t>
  </si>
  <si>
    <t>Cubiertas en contacto con el aire exterior</t>
  </si>
  <si>
    <t xml:space="preserve">TIPO DE ASILAMIENTO </t>
  </si>
  <si>
    <t>Conductividad térmica
λ [W/(K·m)]</t>
  </si>
  <si>
    <t>Muros y suelos en contacto con el aire exterior, U [W/m2 K]</t>
  </si>
  <si>
    <t>Cubiertas en contacto con el aire exterior, U [W/m2 K]</t>
  </si>
  <si>
    <t>FACHADA</t>
  </si>
  <si>
    <t>CUBIERTA</t>
  </si>
  <si>
    <t>m2 de aislamiento tipo 4</t>
  </si>
  <si>
    <t>Elementos en contacto con espacios no habitables o con el terreno, U [W/m2 K]</t>
  </si>
  <si>
    <t>Elementos en contacto con espacios no habitables o con el terreno</t>
  </si>
  <si>
    <t>Cubierta</t>
  </si>
  <si>
    <t>Fachada</t>
  </si>
  <si>
    <t>Suelo</t>
  </si>
  <si>
    <t>Entramado ligero</t>
  </si>
  <si>
    <t>EDIFICIO DE REFERENCIA DE MADERA</t>
  </si>
  <si>
    <t>Cerámica gres porcelánico</t>
  </si>
  <si>
    <t>Sistema de fachada con gres porcelánico DIT  548R716</t>
  </si>
  <si>
    <t>Baldosa gres porcelánico</t>
  </si>
  <si>
    <t>baldosa 100x50x11 mm</t>
  </si>
  <si>
    <t>En un m de facahda de 3,5 m de altura hay:</t>
  </si>
  <si>
    <t>1 perfil</t>
  </si>
  <si>
    <t>kg/ml</t>
  </si>
  <si>
    <t>total kg</t>
  </si>
  <si>
    <t>4 ménsulas</t>
  </si>
  <si>
    <t>4 portagrapas</t>
  </si>
  <si>
    <t>8 tornillos mensulas</t>
  </si>
  <si>
    <t>8 tornillos portagrapas</t>
  </si>
  <si>
    <t>8 tornillos al soporte</t>
  </si>
  <si>
    <t>acero inox</t>
  </si>
  <si>
    <t>al</t>
  </si>
  <si>
    <t>kg al</t>
  </si>
  <si>
    <t>kg acero inox</t>
  </si>
  <si>
    <t>baldosa gres</t>
  </si>
  <si>
    <t>dit</t>
  </si>
  <si>
    <t>tornillos acero inox</t>
  </si>
  <si>
    <t>Se han considerado 3 k de subestructura intermesia entre 5 y 2</t>
  </si>
  <si>
    <t>Estructura de suelo a suelo 3,5 m</t>
  </si>
  <si>
    <t>longitud portico 15,3 m</t>
  </si>
  <si>
    <t>10 mm</t>
  </si>
  <si>
    <t>12 mm</t>
  </si>
  <si>
    <t>entramado vertical</t>
  </si>
  <si>
    <t>Entramado</t>
  </si>
  <si>
    <t>canales</t>
  </si>
  <si>
    <t>15,3 m lineal de entramado de 3,4 de altura y espasor 12 cm</t>
  </si>
  <si>
    <t>montantes</t>
  </si>
  <si>
    <t xml:space="preserve">m3 </t>
  </si>
  <si>
    <t>transversal</t>
  </si>
  <si>
    <t>Total m3</t>
  </si>
  <si>
    <t>madera maciza</t>
  </si>
  <si>
    <t>madera aserrada</t>
  </si>
  <si>
    <t>KgCO2 eq/m2 entramado</t>
  </si>
  <si>
    <t>relación entre porticos de pilares y vigas y entramado</t>
  </si>
  <si>
    <t>Madera aserrada</t>
  </si>
  <si>
    <t>Madera laminada</t>
  </si>
  <si>
    <t>densidad kg/m3</t>
  </si>
  <si>
    <t>Kg</t>
  </si>
  <si>
    <t>relación kg entre CLT y porticos de madera</t>
  </si>
  <si>
    <t>%</t>
  </si>
  <si>
    <t>total ENTRAMADO CON osb A UNA CARA</t>
  </si>
  <si>
    <t>entramado vertical con OSB a una cara</t>
  </si>
  <si>
    <t>Espesor (cm)</t>
  </si>
  <si>
    <t>SISTEMA</t>
  </si>
  <si>
    <t>TIPO DE AISLAMIENTO</t>
  </si>
  <si>
    <t>DENSIDAD (kg/m3)</t>
  </si>
  <si>
    <r>
      <t>FACTOR 
[kg CO</t>
    </r>
    <r>
      <rPr>
        <b/>
        <vertAlign val="subscript"/>
        <sz val="11"/>
        <color theme="1"/>
        <rFont val="Calibri"/>
        <family val="2"/>
        <scheme val="minor"/>
      </rPr>
      <t>2</t>
    </r>
    <r>
      <rPr>
        <b/>
        <sz val="11"/>
        <color theme="1"/>
        <rFont val="Calibri"/>
        <family val="2"/>
        <scheme val="minor"/>
      </rPr>
      <t xml:space="preserve"> eq/kg producto]</t>
    </r>
  </si>
  <si>
    <r>
      <t>FACTOR A
[kg CO</t>
    </r>
    <r>
      <rPr>
        <b/>
        <vertAlign val="subscript"/>
        <sz val="11"/>
        <color theme="1"/>
        <rFont val="Calibri"/>
        <family val="2"/>
        <scheme val="minor"/>
      </rPr>
      <t>2</t>
    </r>
    <r>
      <rPr>
        <b/>
        <sz val="11"/>
        <color theme="1"/>
        <rFont val="Calibri"/>
        <family val="2"/>
        <scheme val="minor"/>
      </rPr>
      <t xml:space="preserve"> eq/m2]</t>
    </r>
  </si>
  <si>
    <r>
      <t>FACTOR B
[kg CO</t>
    </r>
    <r>
      <rPr>
        <b/>
        <vertAlign val="subscript"/>
        <sz val="11"/>
        <color theme="1"/>
        <rFont val="Calibri"/>
        <family val="2"/>
        <scheme val="minor"/>
      </rPr>
      <t>2</t>
    </r>
    <r>
      <rPr>
        <b/>
        <sz val="11"/>
        <color theme="1"/>
        <rFont val="Calibri"/>
        <family val="2"/>
        <scheme val="minor"/>
      </rPr>
      <t xml:space="preserve"> eq/m2]</t>
    </r>
  </si>
  <si>
    <r>
      <t>FACTOR C
[kg CO</t>
    </r>
    <r>
      <rPr>
        <b/>
        <vertAlign val="subscript"/>
        <sz val="11"/>
        <color theme="1"/>
        <rFont val="Calibri"/>
        <family val="2"/>
        <scheme val="minor"/>
      </rPr>
      <t>2</t>
    </r>
    <r>
      <rPr>
        <b/>
        <sz val="11"/>
        <color theme="1"/>
        <rFont val="Calibri"/>
        <family val="2"/>
        <scheme val="minor"/>
      </rPr>
      <t xml:space="preserve"> eq/m2]</t>
    </r>
  </si>
  <si>
    <r>
      <t>FACTOR D
[kg CO</t>
    </r>
    <r>
      <rPr>
        <b/>
        <vertAlign val="subscript"/>
        <sz val="11"/>
        <color theme="1"/>
        <rFont val="Calibri"/>
        <family val="2"/>
        <scheme val="minor"/>
      </rPr>
      <t>2</t>
    </r>
    <r>
      <rPr>
        <b/>
        <sz val="11"/>
        <color theme="1"/>
        <rFont val="Calibri"/>
        <family val="2"/>
        <scheme val="minor"/>
      </rPr>
      <t xml:space="preserve"> eq/m2]</t>
    </r>
  </si>
  <si>
    <r>
      <t>FACTOR E
[kg CO</t>
    </r>
    <r>
      <rPr>
        <b/>
        <vertAlign val="subscript"/>
        <sz val="11"/>
        <color theme="1"/>
        <rFont val="Calibri"/>
        <family val="2"/>
        <scheme val="minor"/>
      </rPr>
      <t>2</t>
    </r>
    <r>
      <rPr>
        <b/>
        <sz val="11"/>
        <color theme="1"/>
        <rFont val="Calibri"/>
        <family val="2"/>
        <scheme val="minor"/>
      </rPr>
      <t xml:space="preserve"> eq/m2]</t>
    </r>
  </si>
  <si>
    <r>
      <t>EPS (30 kg/m</t>
    </r>
    <r>
      <rPr>
        <vertAlign val="superscript"/>
        <sz val="11"/>
        <color theme="1"/>
        <rFont val="Calibri"/>
        <family val="2"/>
        <scheme val="minor"/>
      </rPr>
      <t>3</t>
    </r>
    <r>
      <rPr>
        <sz val="11"/>
        <color theme="1"/>
        <rFont val="Calibri"/>
        <family val="2"/>
        <scheme val="minor"/>
      </rPr>
      <t>)</t>
    </r>
  </si>
  <si>
    <r>
      <t>XPS (30 kg/m</t>
    </r>
    <r>
      <rPr>
        <vertAlign val="superscript"/>
        <sz val="11"/>
        <color theme="1"/>
        <rFont val="Calibri"/>
        <family val="2"/>
        <scheme val="minor"/>
      </rPr>
      <t>3</t>
    </r>
    <r>
      <rPr>
        <sz val="11"/>
        <color theme="1"/>
        <rFont val="Calibri"/>
        <family val="2"/>
        <scheme val="minor"/>
      </rPr>
      <t>)</t>
    </r>
  </si>
  <si>
    <r>
      <t>Lana mineral (80 kg/m</t>
    </r>
    <r>
      <rPr>
        <vertAlign val="superscript"/>
        <sz val="11"/>
        <color theme="1"/>
        <rFont val="Calibri"/>
        <family val="2"/>
        <scheme val="minor"/>
      </rPr>
      <t>3</t>
    </r>
    <r>
      <rPr>
        <sz val="11"/>
        <color theme="1"/>
        <rFont val="Calibri"/>
        <family val="2"/>
        <scheme val="minor"/>
      </rPr>
      <t>)</t>
    </r>
  </si>
  <si>
    <r>
      <t>Fibra de madera (110 kg/m</t>
    </r>
    <r>
      <rPr>
        <vertAlign val="superscript"/>
        <sz val="11"/>
        <color theme="1"/>
        <rFont val="Calibri"/>
        <family val="2"/>
        <scheme val="minor"/>
      </rPr>
      <t>3</t>
    </r>
    <r>
      <rPr>
        <sz val="11"/>
        <color theme="1"/>
        <rFont val="Calibri"/>
        <family val="2"/>
        <scheme val="minor"/>
      </rPr>
      <t>)</t>
    </r>
  </si>
  <si>
    <r>
      <t>Lana mineral (50 kg/m</t>
    </r>
    <r>
      <rPr>
        <vertAlign val="superscript"/>
        <sz val="11"/>
        <color theme="1"/>
        <rFont val="Calibri"/>
        <family val="2"/>
        <scheme val="minor"/>
      </rPr>
      <t>3</t>
    </r>
    <r>
      <rPr>
        <sz val="11"/>
        <color theme="1"/>
        <rFont val="Calibri"/>
        <family val="2"/>
        <scheme val="minor"/>
      </rPr>
      <t>)</t>
    </r>
  </si>
  <si>
    <r>
      <t>Lana mineral (150 kg/m</t>
    </r>
    <r>
      <rPr>
        <vertAlign val="superscript"/>
        <sz val="11"/>
        <color theme="1"/>
        <rFont val="Calibri"/>
        <family val="2"/>
        <scheme val="minor"/>
      </rPr>
      <t>3</t>
    </r>
    <r>
      <rPr>
        <sz val="11"/>
        <color theme="1"/>
        <rFont val="Calibri"/>
        <family val="2"/>
        <scheme val="minor"/>
      </rPr>
      <t>)</t>
    </r>
  </si>
  <si>
    <r>
      <t>Fibra de madera (140 kg/m</t>
    </r>
    <r>
      <rPr>
        <vertAlign val="superscript"/>
        <sz val="11"/>
        <color theme="1"/>
        <rFont val="Calibri"/>
        <family val="2"/>
        <scheme val="minor"/>
      </rPr>
      <t>3</t>
    </r>
    <r>
      <rPr>
        <sz val="11"/>
        <color theme="1"/>
        <rFont val="Calibri"/>
        <family val="2"/>
        <scheme val="minor"/>
      </rPr>
      <t>)</t>
    </r>
  </si>
  <si>
    <t>AISLAMIENTO DE FACHADA</t>
  </si>
  <si>
    <t>AISLAMIENTO DE CUBIERTA</t>
  </si>
  <si>
    <t>AISLAMIENTO DE SUELOS</t>
  </si>
  <si>
    <t>m2 de aislamiento tipo 5</t>
  </si>
  <si>
    <t>COMPARACIÓN CON OTROS EDIFICOS</t>
  </si>
  <si>
    <t>Lana mineral (80 kg/m3)</t>
  </si>
  <si>
    <t>EDIFICIO DE VIVIENDAS DE CONSTRUCCIÓN ESTANDAR</t>
  </si>
  <si>
    <t>Lana mineral (150 kg/m3)</t>
  </si>
  <si>
    <t>Fachada tipo 6. Revestimiento exterior</t>
  </si>
  <si>
    <r>
      <t>m</t>
    </r>
    <r>
      <rPr>
        <vertAlign val="superscript"/>
        <sz val="11"/>
        <color theme="1"/>
        <rFont val="Calibri"/>
        <family val="2"/>
        <scheme val="minor"/>
      </rPr>
      <t>2</t>
    </r>
    <r>
      <rPr>
        <sz val="11"/>
        <color theme="1"/>
        <rFont val="Calibri"/>
        <family val="2"/>
        <scheme val="minor"/>
      </rPr>
      <t xml:space="preserve"> fachada tipo 6</t>
    </r>
  </si>
  <si>
    <t>Cerámica gres espesor ≥ 2 cm</t>
  </si>
  <si>
    <t>Cerámica gres porcelánico ≤ 1 cm</t>
  </si>
  <si>
    <t>Pavimento tipo 1</t>
  </si>
  <si>
    <t>Revestimiento tipo 1</t>
  </si>
  <si>
    <t>DATOS DEL PROYECTO</t>
  </si>
  <si>
    <t>DATOS GENERALES DEL EDIFICIO</t>
  </si>
  <si>
    <r>
      <t>REVESTIMIENTOS INTERIORES DE PAREDES 
[kg CO</t>
    </r>
    <r>
      <rPr>
        <b/>
        <vertAlign val="subscript"/>
        <sz val="11"/>
        <color theme="1"/>
        <rFont val="Calibri"/>
        <family val="2"/>
        <scheme val="minor"/>
      </rPr>
      <t>2eq</t>
    </r>
    <r>
      <rPr>
        <b/>
        <sz val="11"/>
        <color theme="1"/>
        <rFont val="Calibri"/>
        <family val="2"/>
        <scheme val="minor"/>
      </rPr>
      <t>/m</t>
    </r>
    <r>
      <rPr>
        <b/>
        <vertAlign val="superscript"/>
        <sz val="11"/>
        <color theme="1"/>
        <rFont val="Calibri"/>
        <family val="2"/>
        <scheme val="minor"/>
      </rPr>
      <t>2</t>
    </r>
    <r>
      <rPr>
        <b/>
        <sz val="11"/>
        <color theme="1"/>
        <rFont val="Calibri"/>
        <family val="2"/>
        <scheme val="minor"/>
      </rPr>
      <t>]</t>
    </r>
  </si>
  <si>
    <t>Superficie uso vivienda planta 1</t>
  </si>
  <si>
    <t>Superficie uso vivienda planta baja</t>
  </si>
  <si>
    <t>Superficie uso vivienda planta 2</t>
  </si>
  <si>
    <t>Superficie uso vivienda planta 3</t>
  </si>
  <si>
    <t>Superficie uso vivienda planta 4</t>
  </si>
  <si>
    <t>Superficie uso vivienda planta 5</t>
  </si>
  <si>
    <t>Superficie uso vivienda planta 6</t>
  </si>
  <si>
    <t>Superficie uso vivienda planta 7</t>
  </si>
  <si>
    <t>Superficie uso vivienda planta 8</t>
  </si>
  <si>
    <t>Superficie uso vivienda planta 9</t>
  </si>
  <si>
    <t xml:space="preserve">HERRAMIENTA PARA LA PROMOCIÓN DE LA MADERA EN LA CONSTRUCCIÓN </t>
  </si>
  <si>
    <r>
      <t>Pavimento</t>
    </r>
    <r>
      <rPr>
        <i/>
        <sz val="11"/>
        <color theme="1"/>
        <rFont val="Calibri"/>
        <family val="2"/>
        <scheme val="minor"/>
      </rPr>
      <t xml:space="preserve"> zonas comunes</t>
    </r>
    <r>
      <rPr>
        <sz val="11"/>
        <color theme="1"/>
        <rFont val="Calibri"/>
        <family val="2"/>
        <scheme val="minor"/>
      </rPr>
      <t xml:space="preserve"> tipo 1</t>
    </r>
  </si>
  <si>
    <r>
      <t>m</t>
    </r>
    <r>
      <rPr>
        <vertAlign val="superscript"/>
        <sz val="11"/>
        <color theme="1"/>
        <rFont val="Calibri"/>
        <family val="2"/>
        <scheme val="minor"/>
      </rPr>
      <t>2</t>
    </r>
    <r>
      <rPr>
        <sz val="11"/>
        <color theme="1"/>
        <rFont val="Calibri"/>
        <family val="2"/>
        <scheme val="minor"/>
      </rPr>
      <t xml:space="preserve"> pavimento </t>
    </r>
    <r>
      <rPr>
        <i/>
        <sz val="11"/>
        <color theme="1"/>
        <rFont val="Calibri"/>
        <family val="2"/>
        <scheme val="minor"/>
      </rPr>
      <t>zonas comunes</t>
    </r>
    <r>
      <rPr>
        <sz val="11"/>
        <color theme="1"/>
        <rFont val="Calibri"/>
        <family val="2"/>
        <scheme val="minor"/>
      </rPr>
      <t xml:space="preserve"> tipo 1</t>
    </r>
  </si>
  <si>
    <r>
      <t xml:space="preserve">Pavimento </t>
    </r>
    <r>
      <rPr>
        <i/>
        <sz val="11"/>
        <color theme="1"/>
        <rFont val="Calibri"/>
        <family val="2"/>
        <scheme val="minor"/>
      </rPr>
      <t>zonas comunes</t>
    </r>
    <r>
      <rPr>
        <sz val="11"/>
        <color theme="1"/>
        <rFont val="Calibri"/>
        <family val="2"/>
        <scheme val="minor"/>
      </rPr>
      <t xml:space="preserve"> tipo 2</t>
    </r>
  </si>
  <si>
    <r>
      <t>m</t>
    </r>
    <r>
      <rPr>
        <vertAlign val="superscript"/>
        <sz val="11"/>
        <color theme="1"/>
        <rFont val="Calibri"/>
        <family val="2"/>
        <scheme val="minor"/>
      </rPr>
      <t>2</t>
    </r>
    <r>
      <rPr>
        <sz val="11"/>
        <color theme="1"/>
        <rFont val="Calibri"/>
        <family val="2"/>
        <scheme val="minor"/>
      </rPr>
      <t xml:space="preserve"> pavimento </t>
    </r>
    <r>
      <rPr>
        <i/>
        <sz val="11"/>
        <color theme="1"/>
        <rFont val="Calibri"/>
        <family val="2"/>
        <scheme val="minor"/>
      </rPr>
      <t>zonas comunes</t>
    </r>
    <r>
      <rPr>
        <sz val="11"/>
        <color theme="1"/>
        <rFont val="Calibri"/>
        <family val="2"/>
        <scheme val="minor"/>
      </rPr>
      <t xml:space="preserve"> tipo 2</t>
    </r>
  </si>
  <si>
    <r>
      <t>m</t>
    </r>
    <r>
      <rPr>
        <vertAlign val="superscript"/>
        <sz val="11"/>
        <color theme="1"/>
        <rFont val="Calibri"/>
        <family val="2"/>
        <scheme val="minor"/>
      </rPr>
      <t>2</t>
    </r>
    <r>
      <rPr>
        <sz val="11"/>
        <color theme="1"/>
        <rFont val="Calibri"/>
        <family val="2"/>
        <scheme val="minor"/>
      </rPr>
      <t xml:space="preserve"> pavimento tipo 2</t>
    </r>
  </si>
  <si>
    <r>
      <t>m</t>
    </r>
    <r>
      <rPr>
        <vertAlign val="superscript"/>
        <sz val="11"/>
        <color theme="1"/>
        <rFont val="Calibri"/>
        <family val="2"/>
        <scheme val="minor"/>
      </rPr>
      <t>2</t>
    </r>
    <r>
      <rPr>
        <sz val="11"/>
        <color theme="1"/>
        <rFont val="Calibri"/>
        <family val="2"/>
        <scheme val="minor"/>
      </rPr>
      <t xml:space="preserve"> pavimento tipo 3</t>
    </r>
  </si>
  <si>
    <r>
      <t>m</t>
    </r>
    <r>
      <rPr>
        <vertAlign val="superscript"/>
        <sz val="11"/>
        <color theme="1"/>
        <rFont val="Calibri"/>
        <family val="2"/>
        <scheme val="minor"/>
      </rPr>
      <t>2</t>
    </r>
    <r>
      <rPr>
        <sz val="11"/>
        <color theme="1"/>
        <rFont val="Calibri"/>
        <family val="2"/>
        <scheme val="minor"/>
      </rPr>
      <t xml:space="preserve"> pavimento tipo 4</t>
    </r>
  </si>
  <si>
    <r>
      <t>m</t>
    </r>
    <r>
      <rPr>
        <vertAlign val="superscript"/>
        <sz val="11"/>
        <color theme="1"/>
        <rFont val="Calibri"/>
        <family val="2"/>
        <scheme val="minor"/>
      </rPr>
      <t>2</t>
    </r>
    <r>
      <rPr>
        <sz val="11"/>
        <color theme="1"/>
        <rFont val="Calibri"/>
        <family val="2"/>
        <scheme val="minor"/>
      </rPr>
      <t xml:space="preserve"> pavimento tipo 5</t>
    </r>
  </si>
  <si>
    <r>
      <t>m</t>
    </r>
    <r>
      <rPr>
        <vertAlign val="superscript"/>
        <sz val="11"/>
        <color theme="1"/>
        <rFont val="Calibri"/>
        <family val="2"/>
        <scheme val="minor"/>
      </rPr>
      <t>2</t>
    </r>
    <r>
      <rPr>
        <sz val="11"/>
        <color theme="1"/>
        <rFont val="Calibri"/>
        <family val="2"/>
        <scheme val="minor"/>
      </rPr>
      <t xml:space="preserve"> pavimento tipo 6</t>
    </r>
  </si>
  <si>
    <r>
      <t>m</t>
    </r>
    <r>
      <rPr>
        <vertAlign val="superscript"/>
        <sz val="11"/>
        <color theme="1"/>
        <rFont val="Calibri"/>
        <family val="2"/>
        <scheme val="minor"/>
      </rPr>
      <t>2</t>
    </r>
    <r>
      <rPr>
        <sz val="11"/>
        <color theme="1"/>
        <rFont val="Calibri"/>
        <family val="2"/>
        <scheme val="minor"/>
      </rPr>
      <t xml:space="preserve"> pavimento tipo 7</t>
    </r>
  </si>
  <si>
    <r>
      <t>m</t>
    </r>
    <r>
      <rPr>
        <vertAlign val="superscript"/>
        <sz val="11"/>
        <color theme="1"/>
        <rFont val="Calibri"/>
        <family val="2"/>
        <scheme val="minor"/>
      </rPr>
      <t>2</t>
    </r>
    <r>
      <rPr>
        <sz val="11"/>
        <color theme="1"/>
        <rFont val="Calibri"/>
        <family val="2"/>
        <scheme val="minor"/>
      </rPr>
      <t xml:space="preserve"> pavimento tipo 8</t>
    </r>
  </si>
  <si>
    <r>
      <t xml:space="preserve">Nota: estos resultados </t>
    </r>
    <r>
      <rPr>
        <b/>
        <sz val="9"/>
        <color theme="1"/>
        <rFont val="Calibri"/>
        <family val="2"/>
        <scheme val="minor"/>
      </rPr>
      <t>no muestran un análisis del ciclo de vida</t>
    </r>
    <r>
      <rPr>
        <sz val="9"/>
        <color theme="1"/>
        <rFont val="Calibri"/>
        <family val="2"/>
        <scheme val="minor"/>
      </rPr>
      <t xml:space="preserve"> ya que no se ha estudiado el edificio al completo. Estos resultados muestran una comparación en cuanto a emisiones de CO</t>
    </r>
    <r>
      <rPr>
        <vertAlign val="subscript"/>
        <sz val="9"/>
        <color theme="1"/>
        <rFont val="Calibri"/>
        <family val="2"/>
        <scheme val="minor"/>
      </rPr>
      <t>2</t>
    </r>
    <r>
      <rPr>
        <sz val="9"/>
        <color theme="1"/>
        <rFont val="Calibri"/>
        <family val="2"/>
        <scheme val="minor"/>
      </rPr>
      <t xml:space="preserve"> de diferentes sistemas constructivos.</t>
    </r>
  </si>
  <si>
    <t>Pavimento tipo4</t>
  </si>
  <si>
    <r>
      <t>m</t>
    </r>
    <r>
      <rPr>
        <vertAlign val="superscript"/>
        <sz val="11"/>
        <color theme="1"/>
        <rFont val="Calibri"/>
        <family val="2"/>
        <scheme val="minor"/>
      </rPr>
      <t>2</t>
    </r>
    <r>
      <rPr>
        <sz val="11"/>
        <color theme="1"/>
        <rFont val="Calibri"/>
        <family val="2"/>
        <scheme val="minor"/>
      </rPr>
      <t xml:space="preserve"> fachada tipo </t>
    </r>
    <r>
      <rPr>
        <i/>
        <sz val="11"/>
        <color theme="1"/>
        <rFont val="Calibri"/>
        <family val="2"/>
        <scheme val="minor"/>
      </rPr>
      <t>X</t>
    </r>
  </si>
  <si>
    <r>
      <t xml:space="preserve">Fachada tipo </t>
    </r>
    <r>
      <rPr>
        <i/>
        <sz val="11"/>
        <color theme="1"/>
        <rFont val="Calibri"/>
        <family val="2"/>
        <scheme val="minor"/>
      </rPr>
      <t>X</t>
    </r>
    <r>
      <rPr>
        <sz val="11"/>
        <color theme="1"/>
        <rFont val="Calibri"/>
        <family val="2"/>
        <scheme val="minor"/>
      </rPr>
      <t>. Revestimiento exterior</t>
    </r>
  </si>
  <si>
    <t>CARPINTERÍAS</t>
  </si>
  <si>
    <t>Escribir los m2 de superficie del aislamiento</t>
  </si>
  <si>
    <t>Escribir los m2 de superficie del pavimento</t>
  </si>
  <si>
    <r>
      <t xml:space="preserve">m2 de aislamiento tipo </t>
    </r>
    <r>
      <rPr>
        <i/>
        <sz val="11"/>
        <color theme="1"/>
        <rFont val="Calibri"/>
        <family val="2"/>
        <scheme val="minor"/>
      </rPr>
      <t>X</t>
    </r>
  </si>
  <si>
    <t>m2 de aislamiento tipo X</t>
  </si>
  <si>
    <t>m2 de carpintería tipo X</t>
  </si>
  <si>
    <t>Número de plantas del edificio</t>
  </si>
  <si>
    <t>Superficie planta baja</t>
  </si>
  <si>
    <t>Superficie planta 1</t>
  </si>
  <si>
    <t>SUELO EN CONTACTO CON EL TERRENO O LOCAL NO CALEFACTADO</t>
  </si>
  <si>
    <t>VERSIÓN 1.0 - FECHA DE ÚLTIMA ACTUALIZACIÓN: 10/09/2020</t>
  </si>
  <si>
    <t>Seleccionar el material del aislamiento en fachada:
En el caso de edificios de viviendas solo la correspondiente al uso de viviendas.</t>
  </si>
  <si>
    <t>Seleccionar el material del aislamiento en cubierta:
En el caso de edificios de viviendas solo la correspondiente al uso de viviendas.</t>
  </si>
  <si>
    <t>Seleccionar el material del aislamiento del suelo:
En el caso de edificios de viviendas solo la correspondiente al uso de viviendas.</t>
  </si>
  <si>
    <r>
      <t xml:space="preserve">m2 revestimiento </t>
    </r>
    <r>
      <rPr>
        <i/>
        <sz val="11"/>
        <color theme="1"/>
        <rFont val="Calibri"/>
        <family val="2"/>
        <scheme val="minor"/>
      </rPr>
      <t>zonas comunes</t>
    </r>
    <r>
      <rPr>
        <sz val="11"/>
        <color theme="1"/>
        <rFont val="Calibri"/>
        <family val="2"/>
        <scheme val="minor"/>
      </rPr>
      <t xml:space="preserve"> tipo 1</t>
    </r>
  </si>
  <si>
    <r>
      <t>Revestimientos</t>
    </r>
    <r>
      <rPr>
        <i/>
        <sz val="11"/>
        <color theme="1"/>
        <rFont val="Calibri"/>
        <family val="2"/>
        <scheme val="minor"/>
      </rPr>
      <t xml:space="preserve"> zonas comunes</t>
    </r>
    <r>
      <rPr>
        <sz val="11"/>
        <color theme="1"/>
        <rFont val="Calibri"/>
        <family val="2"/>
        <scheme val="minor"/>
      </rPr>
      <t xml:space="preserve"> tipo 1</t>
    </r>
  </si>
  <si>
    <r>
      <t>Revestimientos</t>
    </r>
    <r>
      <rPr>
        <i/>
        <sz val="11"/>
        <color theme="1"/>
        <rFont val="Calibri"/>
        <family val="2"/>
        <scheme val="minor"/>
      </rPr>
      <t xml:space="preserve"> zonas comunes</t>
    </r>
    <r>
      <rPr>
        <sz val="11"/>
        <color theme="1"/>
        <rFont val="Calibri"/>
        <family val="2"/>
        <scheme val="minor"/>
      </rPr>
      <t xml:space="preserve"> tipo 2</t>
    </r>
  </si>
  <si>
    <r>
      <t xml:space="preserve">m2 revestimiento </t>
    </r>
    <r>
      <rPr>
        <i/>
        <sz val="11"/>
        <color theme="1"/>
        <rFont val="Calibri"/>
        <family val="2"/>
        <scheme val="minor"/>
      </rPr>
      <t>zonas comunes</t>
    </r>
    <r>
      <rPr>
        <sz val="11"/>
        <color theme="1"/>
        <rFont val="Calibri"/>
        <family val="2"/>
        <scheme val="minor"/>
      </rPr>
      <t xml:space="preserve"> tipo 2</t>
    </r>
  </si>
  <si>
    <t>Escribir los m2 de superficie del revestimiento</t>
  </si>
  <si>
    <r>
      <t xml:space="preserve">Revestimiento tipo </t>
    </r>
    <r>
      <rPr>
        <i/>
        <sz val="11"/>
        <color theme="1"/>
        <rFont val="Calibri"/>
        <family val="2"/>
        <scheme val="minor"/>
      </rPr>
      <t>X</t>
    </r>
  </si>
  <si>
    <t>EDIFICIO DE CONSTRUCCIÓN ESTANDAR</t>
  </si>
  <si>
    <t>Número de plantas otros usos</t>
  </si>
  <si>
    <t>Fibra de madera (140 kg/m3)</t>
  </si>
  <si>
    <t>Fibra de madera (110 kg/m3)</t>
  </si>
  <si>
    <r>
      <t xml:space="preserve">Pavimento tipo </t>
    </r>
    <r>
      <rPr>
        <i/>
        <sz val="11"/>
        <color theme="1"/>
        <rFont val="Calibri"/>
        <family val="2"/>
        <scheme val="minor"/>
      </rPr>
      <t>X</t>
    </r>
  </si>
  <si>
    <r>
      <t>m</t>
    </r>
    <r>
      <rPr>
        <vertAlign val="superscript"/>
        <sz val="11"/>
        <color theme="1"/>
        <rFont val="Calibri"/>
        <family val="2"/>
        <scheme val="minor"/>
      </rPr>
      <t>2</t>
    </r>
    <r>
      <rPr>
        <sz val="11"/>
        <color theme="1"/>
        <rFont val="Calibri"/>
        <family val="2"/>
        <scheme val="minor"/>
      </rPr>
      <t xml:space="preserve"> pavimento tipo </t>
    </r>
    <r>
      <rPr>
        <i/>
        <sz val="11"/>
        <color theme="1"/>
        <rFont val="Calibri"/>
        <family val="2"/>
        <scheme val="minor"/>
      </rPr>
      <t>X</t>
    </r>
  </si>
  <si>
    <r>
      <t>m</t>
    </r>
    <r>
      <rPr>
        <vertAlign val="superscript"/>
        <sz val="11"/>
        <color theme="1"/>
        <rFont val="Calibri"/>
        <family val="2"/>
        <scheme val="minor"/>
      </rPr>
      <t>2</t>
    </r>
    <r>
      <rPr>
        <sz val="11"/>
        <color theme="1"/>
        <rFont val="Calibri"/>
        <family val="2"/>
        <scheme val="minor"/>
      </rPr>
      <t xml:space="preserve"> revestimiento </t>
    </r>
    <r>
      <rPr>
        <i/>
        <sz val="11"/>
        <color theme="1"/>
        <rFont val="Calibri"/>
        <family val="2"/>
        <scheme val="minor"/>
      </rPr>
      <t>zonas comunes</t>
    </r>
    <r>
      <rPr>
        <sz val="11"/>
        <color theme="1"/>
        <rFont val="Calibri"/>
        <family val="2"/>
        <scheme val="minor"/>
      </rPr>
      <t xml:space="preserve"> tipo 1</t>
    </r>
  </si>
  <si>
    <r>
      <t>m</t>
    </r>
    <r>
      <rPr>
        <vertAlign val="superscript"/>
        <sz val="11"/>
        <color theme="1"/>
        <rFont val="Calibri"/>
        <family val="2"/>
        <scheme val="minor"/>
      </rPr>
      <t>2</t>
    </r>
    <r>
      <rPr>
        <sz val="11"/>
        <color theme="1"/>
        <rFont val="Calibri"/>
        <family val="2"/>
        <scheme val="minor"/>
      </rPr>
      <t xml:space="preserve"> revestimiento </t>
    </r>
    <r>
      <rPr>
        <i/>
        <sz val="11"/>
        <color theme="1"/>
        <rFont val="Calibri"/>
        <family val="2"/>
        <scheme val="minor"/>
      </rPr>
      <t>zonas comunes</t>
    </r>
    <r>
      <rPr>
        <sz val="11"/>
        <color theme="1"/>
        <rFont val="Calibri"/>
        <family val="2"/>
        <scheme val="minor"/>
      </rPr>
      <t xml:space="preserve"> tipo 2</t>
    </r>
  </si>
  <si>
    <r>
      <t>m</t>
    </r>
    <r>
      <rPr>
        <vertAlign val="superscript"/>
        <sz val="11"/>
        <color theme="1"/>
        <rFont val="Calibri"/>
        <family val="2"/>
        <scheme val="minor"/>
      </rPr>
      <t>2</t>
    </r>
    <r>
      <rPr>
        <sz val="11"/>
        <color theme="1"/>
        <rFont val="Calibri"/>
        <family val="2"/>
        <scheme val="minor"/>
      </rPr>
      <t xml:space="preserve"> revestimiento tipo </t>
    </r>
    <r>
      <rPr>
        <i/>
        <sz val="11"/>
        <color theme="1"/>
        <rFont val="Calibri"/>
        <family val="2"/>
        <scheme val="minor"/>
      </rPr>
      <t>X</t>
    </r>
  </si>
  <si>
    <r>
      <t>m</t>
    </r>
    <r>
      <rPr>
        <vertAlign val="superscript"/>
        <sz val="11"/>
        <color theme="1"/>
        <rFont val="Calibri"/>
        <family val="2"/>
        <scheme val="minor"/>
      </rPr>
      <t>2</t>
    </r>
    <r>
      <rPr>
        <sz val="11"/>
        <color theme="1"/>
        <rFont val="Calibri"/>
        <family val="2"/>
        <scheme val="minor"/>
      </rPr>
      <t xml:space="preserve"> revestimiento tipo 1</t>
    </r>
  </si>
  <si>
    <r>
      <t>m</t>
    </r>
    <r>
      <rPr>
        <vertAlign val="superscript"/>
        <sz val="11"/>
        <color theme="1"/>
        <rFont val="Calibri"/>
        <family val="2"/>
        <scheme val="minor"/>
      </rPr>
      <t>2</t>
    </r>
    <r>
      <rPr>
        <sz val="11"/>
        <color theme="1"/>
        <rFont val="Calibri"/>
        <family val="2"/>
        <scheme val="minor"/>
      </rPr>
      <t xml:space="preserve"> revestimiento tipo 2</t>
    </r>
  </si>
  <si>
    <r>
      <t>m</t>
    </r>
    <r>
      <rPr>
        <vertAlign val="superscript"/>
        <sz val="11"/>
        <color theme="1"/>
        <rFont val="Calibri"/>
        <family val="2"/>
        <scheme val="minor"/>
      </rPr>
      <t>2</t>
    </r>
    <r>
      <rPr>
        <sz val="11"/>
        <color theme="1"/>
        <rFont val="Calibri"/>
        <family val="2"/>
        <scheme val="minor"/>
      </rPr>
      <t xml:space="preserve"> revestimiento tipo 3</t>
    </r>
  </si>
  <si>
    <t>Aluminio (Al-PE-AL panel)</t>
  </si>
  <si>
    <t>Pavimento Vinílico</t>
  </si>
  <si>
    <r>
      <t>Nota: Estos resultados muestran una comparación en cuanto a emisiones de CO</t>
    </r>
    <r>
      <rPr>
        <vertAlign val="subscript"/>
        <sz val="9"/>
        <color theme="1"/>
        <rFont val="Calibri"/>
        <family val="2"/>
        <scheme val="minor"/>
      </rPr>
      <t>2</t>
    </r>
    <r>
      <rPr>
        <sz val="9"/>
        <color theme="1"/>
        <rFont val="Calibri"/>
        <family val="2"/>
        <scheme val="minor"/>
      </rPr>
      <t xml:space="preserve"> de diferentes sistemas constructivos. Estos resultados </t>
    </r>
    <r>
      <rPr>
        <b/>
        <sz val="9"/>
        <color theme="1"/>
        <rFont val="Calibri"/>
        <family val="2"/>
        <scheme val="minor"/>
      </rPr>
      <t>no muestran un análisis del ciclo de vida completo</t>
    </r>
    <r>
      <rPr>
        <sz val="9"/>
        <color theme="1"/>
        <rFont val="Calibri"/>
        <family val="2"/>
        <scheme val="minor"/>
      </rPr>
      <t xml:space="preserve"> ya que no se ha estudiado el edificio  en su totalidad. </t>
    </r>
  </si>
  <si>
    <t>Completar por escrito los datos generales del proyecto: proyecto , autor, y fecha.</t>
  </si>
  <si>
    <r>
      <t>Seleccionar el número de plantas de vivienda.
Escribir los m</t>
    </r>
    <r>
      <rPr>
        <vertAlign val="superscript"/>
        <sz val="11"/>
        <color theme="1"/>
        <rFont val="Calibri"/>
        <family val="2"/>
        <scheme val="minor"/>
      </rPr>
      <t>2</t>
    </r>
    <r>
      <rPr>
        <sz val="11"/>
        <color theme="1"/>
        <rFont val="Calibri"/>
        <family val="2"/>
        <scheme val="minor"/>
      </rPr>
      <t xml:space="preserve"> de superficie construida de cada planta con uso vivienda.</t>
    </r>
  </si>
  <si>
    <t xml:space="preserve">Indicar el número de plantas del edficio (incluido el sótano y planta baja).
Ejemplo: sótano + planta baja + 3 </t>
  </si>
  <si>
    <t>Seleccionar la zona climática en la que se construirá el edificio según el Anejo B del CTE DB HE.</t>
  </si>
  <si>
    <t>Seleccionar el tipo de edificio según su uso: edificio de viviendas o edificio de otros usos.</t>
  </si>
  <si>
    <r>
      <t>Seleccionar el número de plantas de de otros usos (sin incluir sótano).
Escribir los m</t>
    </r>
    <r>
      <rPr>
        <vertAlign val="superscript"/>
        <sz val="11"/>
        <color theme="1"/>
        <rFont val="Calibri"/>
        <family val="2"/>
        <scheme val="minor"/>
      </rPr>
      <t>2</t>
    </r>
    <r>
      <rPr>
        <sz val="11"/>
        <color theme="1"/>
        <rFont val="Calibri"/>
        <family val="2"/>
        <scheme val="minor"/>
      </rPr>
      <t xml:space="preserve"> de superficie construida de cada planta.</t>
    </r>
  </si>
  <si>
    <t>Seleccionar el tipo de estructura.</t>
  </si>
  <si>
    <t>Escribir los m2 de superficie del revestimiento exterior.</t>
  </si>
  <si>
    <t>Seleccionar el tipo de revestimiento exterior de la fachada.
En el caso de edificios de viviendas solo la correspondiente al uso de viviendas.</t>
  </si>
  <si>
    <t>Seleccionar el material de construcción de las carpinterías.
En el caso de edificios de viviendas solo la correspondiente al uso de viviendas.</t>
  </si>
  <si>
    <t>Escribir los m2 de superficie total de ventanas.</t>
  </si>
  <si>
    <t>Escribir los m2 de superficie del pavimento.</t>
  </si>
  <si>
    <t>SOLO PARA PROYECTOS DE EDIFICIOS DE VIVIENDAS.
Seleccionar el tipo de pavimento del en las zonas comunes.
En el caso de edificios de viviendas excluir los pavimentos de aquellas plantas que no tengan uso vivienda.</t>
  </si>
  <si>
    <t>PARA EL RESTO DE PAVIMIENTOS EN PROYECTOS DE EDIFICIOS DE VIVIENDAS O PARA TODOS LOS PAVIMENTOS EN PROYECTOS DE EDIFICIOS DE OTROS USOS.
Seleccionar el tipo de pavimento del en las zonas comunes.
En el caso de edificios de viviendas solo la correspondiente al interior de las viviendas o del edificio de otros usos.</t>
  </si>
  <si>
    <t>SOLO PARA PROYECTOS DE EDIFICIOS DE VIVIENDAS
Seleccionar el tipo de revestimiento del en las zonas comunes
En el caso de edificios de viviendas excluir los revestimientos interiores de paredes de aquellas plantas que no tengan uso vivienda.</t>
  </si>
  <si>
    <t>PARA EL RESTO DE PAVIMIENTOS EN PROYECTOS DE EDIFICIOS DE VIVIENDAS O PARA TODOS LOS PAVIMENTOS EN PROYECTOS DE EDIFICIOS DE OTROS USOS
Seleccionar el tipo de pavimento del en las zonas comunes
En el caso de edificios de viviendas excluir los revestimientos interiores de paredes de aquellas plantas que no tengan uso vivienda.</t>
  </si>
</sst>
</file>

<file path=xl/styles.xml><?xml version="1.0" encoding="utf-8"?>
<styleSheet xmlns="http://schemas.openxmlformats.org/spreadsheetml/2006/main">
  <numFmts count="2">
    <numFmt numFmtId="164" formatCode="0.0"/>
    <numFmt numFmtId="165" formatCode="0.000000"/>
  </numFmts>
  <fonts count="23">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name val="Calibri"/>
      <family val="2"/>
      <scheme val="minor"/>
    </font>
    <font>
      <u/>
      <sz val="11"/>
      <color theme="10"/>
      <name val="Calibri"/>
      <family val="2"/>
      <scheme val="minor"/>
    </font>
    <font>
      <sz val="8"/>
      <name val="Calibri"/>
      <family val="2"/>
      <scheme val="minor"/>
    </font>
    <font>
      <vertAlign val="superscript"/>
      <sz val="11"/>
      <color theme="1"/>
      <name val="Calibri"/>
      <family val="2"/>
      <scheme val="minor"/>
    </font>
    <font>
      <sz val="9"/>
      <color theme="1"/>
      <name val="Calibri"/>
      <family val="2"/>
      <scheme val="minor"/>
    </font>
    <font>
      <b/>
      <vertAlign val="superscript"/>
      <sz val="11"/>
      <color theme="1"/>
      <name val="Calibri"/>
      <family val="2"/>
      <scheme val="minor"/>
    </font>
    <font>
      <b/>
      <vertAlign val="subscript"/>
      <sz val="11"/>
      <color theme="1"/>
      <name val="Calibri"/>
      <family val="2"/>
      <scheme val="minor"/>
    </font>
    <font>
      <b/>
      <sz val="11"/>
      <color rgb="FFFF0000"/>
      <name val="Calibri"/>
      <family val="2"/>
      <scheme val="minor"/>
    </font>
    <font>
      <b/>
      <sz val="9"/>
      <color indexed="81"/>
      <name val="Tahoma"/>
      <family val="2"/>
    </font>
    <font>
      <b/>
      <sz val="11"/>
      <color theme="1"/>
      <name val="Calibri"/>
      <family val="2"/>
    </font>
    <font>
      <vertAlign val="subscript"/>
      <sz val="9"/>
      <color theme="1"/>
      <name val="Calibri"/>
      <family val="2"/>
      <scheme val="minor"/>
    </font>
    <font>
      <b/>
      <sz val="16"/>
      <color theme="1"/>
      <name val="Calibri"/>
      <family val="2"/>
      <scheme val="minor"/>
    </font>
    <font>
      <b/>
      <sz val="12"/>
      <color theme="1"/>
      <name val="Calibri"/>
      <family val="2"/>
      <scheme val="minor"/>
    </font>
    <font>
      <i/>
      <sz val="11"/>
      <color theme="1"/>
      <name val="Calibri"/>
      <family val="2"/>
      <scheme val="minor"/>
    </font>
    <font>
      <sz val="9"/>
      <color indexed="81"/>
      <name val="Tahoma"/>
      <family val="2"/>
    </font>
    <font>
      <b/>
      <sz val="10"/>
      <color indexed="81"/>
      <name val="Tahoma"/>
      <family val="2"/>
    </font>
    <font>
      <b/>
      <sz val="9"/>
      <color theme="1"/>
      <name val="Calibri"/>
      <family val="2"/>
      <scheme val="minor"/>
    </font>
    <font>
      <b/>
      <sz val="9"/>
      <color indexed="81"/>
      <name val="Tahoma"/>
      <charset val="1"/>
    </font>
    <font>
      <sz val="9"/>
      <color indexed="81"/>
      <name val="Tahoma"/>
      <charset val="1"/>
    </font>
  </fonts>
  <fills count="8">
    <fill>
      <patternFill patternType="none"/>
    </fill>
    <fill>
      <patternFill patternType="gray125"/>
    </fill>
    <fill>
      <patternFill patternType="solid">
        <fgColor theme="9"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s>
  <borders count="47">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72">
    <xf numFmtId="0" fontId="0" fillId="0" borderId="0" xfId="0"/>
    <xf numFmtId="0" fontId="0" fillId="0" borderId="0" xfId="0" applyAlignment="1">
      <alignment wrapText="1"/>
    </xf>
    <xf numFmtId="2" fontId="0" fillId="0" borderId="0" xfId="0" applyNumberFormat="1"/>
    <xf numFmtId="0" fontId="2" fillId="0" borderId="0" xfId="0" applyFont="1"/>
    <xf numFmtId="0" fontId="4" fillId="0" borderId="0" xfId="0" applyFont="1"/>
    <xf numFmtId="2" fontId="4" fillId="0" borderId="0" xfId="0" applyNumberFormat="1" applyFont="1"/>
    <xf numFmtId="0" fontId="4" fillId="0" borderId="0" xfId="0" applyFont="1" applyAlignment="1">
      <alignment wrapText="1"/>
    </xf>
    <xf numFmtId="2" fontId="2" fillId="0" borderId="0" xfId="0" applyNumberFormat="1" applyFont="1"/>
    <xf numFmtId="0" fontId="5" fillId="0" borderId="0" xfId="1"/>
    <xf numFmtId="0" fontId="0" fillId="0" borderId="0" xfId="0" applyBorder="1"/>
    <xf numFmtId="0" fontId="2" fillId="0" borderId="3" xfId="0" applyFont="1" applyBorder="1" applyAlignment="1">
      <alignment horizontal="center" vertical="center"/>
    </xf>
    <xf numFmtId="0" fontId="0" fillId="0" borderId="3" xfId="0" applyBorder="1" applyAlignment="1">
      <alignment horizontal="center" vertical="center"/>
    </xf>
    <xf numFmtId="0" fontId="2" fillId="0" borderId="4" xfId="0" applyFont="1"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4" xfId="0" applyBorder="1" applyAlignment="1">
      <alignment horizontal="center" vertical="center"/>
    </xf>
    <xf numFmtId="0" fontId="0" fillId="0" borderId="3" xfId="0" applyBorder="1" applyAlignment="1">
      <alignment horizontal="center" vertical="center" wrapText="1"/>
    </xf>
    <xf numFmtId="0" fontId="1" fillId="0" borderId="3" xfId="0" applyFont="1" applyBorder="1" applyAlignment="1">
      <alignment horizontal="center" vertical="center"/>
    </xf>
    <xf numFmtId="2" fontId="3" fillId="0" borderId="3" xfId="0" applyNumberFormat="1" applyFont="1" applyBorder="1" applyAlignment="1">
      <alignment horizontal="center" vertical="center"/>
    </xf>
    <xf numFmtId="0" fontId="0" fillId="0" borderId="12" xfId="0" applyBorder="1" applyAlignment="1">
      <alignment horizontal="center" vertical="center" wrapText="1"/>
    </xf>
    <xf numFmtId="0" fontId="2" fillId="0" borderId="8" xfId="0" applyFont="1" applyBorder="1" applyAlignment="1">
      <alignment horizontal="center" vertical="center"/>
    </xf>
    <xf numFmtId="0" fontId="0" fillId="0" borderId="13" xfId="0" applyBorder="1" applyAlignment="1">
      <alignment horizontal="center" vertical="center"/>
    </xf>
    <xf numFmtId="0" fontId="4" fillId="0" borderId="14" xfId="0" applyFont="1" applyBorder="1" applyAlignment="1">
      <alignment horizontal="center" vertical="center"/>
    </xf>
    <xf numFmtId="2" fontId="4" fillId="0" borderId="14" xfId="0" applyNumberFormat="1" applyFont="1" applyBorder="1" applyAlignment="1">
      <alignment horizontal="center" vertical="center"/>
    </xf>
    <xf numFmtId="0" fontId="0" fillId="0" borderId="15" xfId="0" applyBorder="1" applyAlignment="1">
      <alignment horizontal="center" vertical="center"/>
    </xf>
    <xf numFmtId="2" fontId="3" fillId="0" borderId="10" xfId="0" applyNumberFormat="1" applyFont="1" applyBorder="1" applyAlignment="1">
      <alignment horizontal="center" vertical="center"/>
    </xf>
    <xf numFmtId="2" fontId="4" fillId="0" borderId="11" xfId="0" applyNumberFormat="1" applyFont="1" applyBorder="1" applyAlignment="1">
      <alignment horizontal="center" vertical="center"/>
    </xf>
    <xf numFmtId="2" fontId="0" fillId="0" borderId="3" xfId="0" applyNumberFormat="1" applyBorder="1" applyAlignment="1">
      <alignment horizontal="center" vertical="center"/>
    </xf>
    <xf numFmtId="0" fontId="2" fillId="0" borderId="3" xfId="0" applyFont="1" applyBorder="1" applyAlignment="1">
      <alignment horizontal="center" vertical="center" wrapText="1"/>
    </xf>
    <xf numFmtId="0" fontId="0" fillId="0" borderId="7" xfId="0" applyBorder="1" applyAlignment="1">
      <alignment horizontal="center" vertical="center" wrapText="1"/>
    </xf>
    <xf numFmtId="0" fontId="4" fillId="0" borderId="8" xfId="0" applyFont="1" applyBorder="1" applyAlignment="1">
      <alignment horizontal="center" vertical="center" wrapText="1"/>
    </xf>
    <xf numFmtId="2" fontId="0" fillId="0" borderId="10" xfId="0" applyNumberFormat="1" applyBorder="1" applyAlignment="1">
      <alignment horizontal="center" vertical="center"/>
    </xf>
    <xf numFmtId="2" fontId="2" fillId="0" borderId="14" xfId="0" applyNumberFormat="1" applyFont="1" applyBorder="1" applyAlignment="1">
      <alignment horizontal="center" vertical="center"/>
    </xf>
    <xf numFmtId="2" fontId="2" fillId="0" borderId="11" xfId="0" applyNumberFormat="1" applyFont="1" applyBorder="1" applyAlignment="1">
      <alignment horizontal="center" vertical="center"/>
    </xf>
    <xf numFmtId="2" fontId="0" fillId="0" borderId="4" xfId="0" applyNumberFormat="1" applyBorder="1" applyAlignment="1">
      <alignment horizontal="center" vertical="center"/>
    </xf>
    <xf numFmtId="0" fontId="0" fillId="0" borderId="17" xfId="0" applyBorder="1" applyAlignment="1">
      <alignment horizontal="center" vertical="center"/>
    </xf>
    <xf numFmtId="2" fontId="4" fillId="0" borderId="18" xfId="0" applyNumberFormat="1" applyFont="1" applyBorder="1" applyAlignment="1">
      <alignment horizontal="center" vertical="center"/>
    </xf>
    <xf numFmtId="0" fontId="0" fillId="0" borderId="19" xfId="0" applyBorder="1"/>
    <xf numFmtId="0" fontId="0" fillId="0" borderId="20" xfId="0" applyBorder="1"/>
    <xf numFmtId="0" fontId="0" fillId="0" borderId="13" xfId="0" applyBorder="1" applyAlignment="1">
      <alignment horizontal="center" vertical="center" wrapText="1"/>
    </xf>
    <xf numFmtId="0" fontId="2" fillId="0" borderId="14" xfId="0" applyFont="1" applyBorder="1" applyAlignment="1">
      <alignment horizontal="center" vertical="center"/>
    </xf>
    <xf numFmtId="0" fontId="0" fillId="0" borderId="21" xfId="0" applyBorder="1" applyAlignment="1">
      <alignment horizontal="center" vertical="center"/>
    </xf>
    <xf numFmtId="0" fontId="4" fillId="0" borderId="22" xfId="0" applyFont="1" applyBorder="1"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164" fontId="0" fillId="0" borderId="19" xfId="0" applyNumberFormat="1" applyBorder="1" applyAlignment="1">
      <alignment horizontal="center" vertical="center"/>
    </xf>
    <xf numFmtId="164" fontId="0" fillId="0" borderId="0" xfId="0" applyNumberFormat="1" applyBorder="1" applyAlignment="1">
      <alignment horizontal="center" vertical="center"/>
    </xf>
    <xf numFmtId="164" fontId="0" fillId="0" borderId="20" xfId="0" applyNumberFormat="1" applyBorder="1" applyAlignment="1">
      <alignment horizontal="center" vertical="center"/>
    </xf>
    <xf numFmtId="164" fontId="0" fillId="0" borderId="26" xfId="0" applyNumberFormat="1" applyBorder="1" applyAlignment="1">
      <alignment horizontal="center" vertical="center"/>
    </xf>
    <xf numFmtId="164" fontId="0" fillId="0" borderId="27" xfId="0" applyNumberFormat="1" applyBorder="1" applyAlignment="1">
      <alignment horizontal="center" vertical="center"/>
    </xf>
    <xf numFmtId="0" fontId="0" fillId="0" borderId="27" xfId="0" applyBorder="1" applyAlignment="1">
      <alignment horizontal="center" vertical="center"/>
    </xf>
    <xf numFmtId="164" fontId="0" fillId="0" borderId="28" xfId="0" applyNumberFormat="1" applyBorder="1" applyAlignment="1">
      <alignment horizontal="center" vertical="center"/>
    </xf>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2" fontId="4" fillId="0" borderId="0" xfId="0" applyNumberFormat="1" applyFont="1" applyBorder="1" applyAlignment="1">
      <alignment horizontal="center" vertical="center"/>
    </xf>
    <xf numFmtId="0" fontId="0" fillId="0" borderId="0" xfId="0" applyBorder="1" applyAlignment="1">
      <alignment horizontal="center" vertical="center" wrapText="1"/>
    </xf>
    <xf numFmtId="0" fontId="0" fillId="0" borderId="26" xfId="0" applyBorder="1" applyAlignment="1">
      <alignment horizontal="center" vertical="center"/>
    </xf>
    <xf numFmtId="165" fontId="0" fillId="0" borderId="0"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8" xfId="0" applyNumberFormat="1" applyBorder="1" applyAlignment="1">
      <alignment horizontal="center" vertical="center"/>
    </xf>
    <xf numFmtId="2" fontId="0" fillId="0" borderId="22" xfId="0" applyNumberFormat="1" applyBorder="1" applyAlignment="1">
      <alignment horizontal="center" vertical="center"/>
    </xf>
    <xf numFmtId="2" fontId="0" fillId="0" borderId="14" xfId="0" applyNumberFormat="1" applyBorder="1" applyAlignment="1">
      <alignment horizontal="center" vertical="center"/>
    </xf>
    <xf numFmtId="2" fontId="0" fillId="0" borderId="11" xfId="0" applyNumberFormat="1" applyBorder="1" applyAlignment="1">
      <alignment horizontal="center" vertical="center"/>
    </xf>
    <xf numFmtId="2" fontId="0" fillId="6" borderId="22" xfId="0" applyNumberFormat="1" applyFill="1" applyBorder="1" applyAlignment="1">
      <alignment horizontal="center" vertical="center"/>
    </xf>
    <xf numFmtId="0" fontId="0" fillId="6" borderId="14" xfId="0" applyFill="1" applyBorder="1" applyAlignment="1">
      <alignment horizontal="center" vertical="center"/>
    </xf>
    <xf numFmtId="2" fontId="0" fillId="6" borderId="14" xfId="0" applyNumberFormat="1" applyFill="1" applyBorder="1" applyAlignment="1">
      <alignment horizontal="center" vertical="center"/>
    </xf>
    <xf numFmtId="0" fontId="0" fillId="0" borderId="0" xfId="0" applyAlignment="1">
      <alignment vertical="center"/>
    </xf>
    <xf numFmtId="1" fontId="0" fillId="0" borderId="0" xfId="0" applyNumberFormat="1"/>
    <xf numFmtId="9" fontId="0" fillId="0" borderId="0" xfId="0" applyNumberFormat="1"/>
    <xf numFmtId="2" fontId="0" fillId="0" borderId="8" xfId="0" applyNumberFormat="1" applyBorder="1" applyAlignment="1">
      <alignment horizontal="center" vertical="center"/>
    </xf>
    <xf numFmtId="2" fontId="0" fillId="6" borderId="11" xfId="0" applyNumberFormat="1" applyFill="1" applyBorder="1" applyAlignment="1">
      <alignment horizontal="center" vertical="center"/>
    </xf>
    <xf numFmtId="2" fontId="0" fillId="6" borderId="8" xfId="0" applyNumberFormat="1" applyFill="1" applyBorder="1" applyAlignment="1">
      <alignment horizontal="center" vertical="center"/>
    </xf>
    <xf numFmtId="1" fontId="11" fillId="0" borderId="0" xfId="0" applyNumberFormat="1" applyFont="1"/>
    <xf numFmtId="0" fontId="11" fillId="0" borderId="0" xfId="0" applyFont="1"/>
    <xf numFmtId="0" fontId="0" fillId="0" borderId="23" xfId="0" applyBorder="1"/>
    <xf numFmtId="0" fontId="0" fillId="0" borderId="24" xfId="0" applyBorder="1"/>
    <xf numFmtId="0" fontId="0" fillId="0" borderId="25" xfId="0" applyBorder="1"/>
    <xf numFmtId="1" fontId="0" fillId="0" borderId="0" xfId="0" applyNumberFormat="1" applyBorder="1"/>
    <xf numFmtId="2" fontId="0" fillId="0" borderId="0" xfId="0" applyNumberFormat="1" applyBorder="1"/>
    <xf numFmtId="0" fontId="0" fillId="0" borderId="26" xfId="0" applyBorder="1"/>
    <xf numFmtId="0" fontId="0" fillId="0" borderId="27" xfId="0" applyBorder="1"/>
    <xf numFmtId="0" fontId="0" fillId="0" borderId="28" xfId="0" applyBorder="1"/>
    <xf numFmtId="0" fontId="11" fillId="0" borderId="0" xfId="0" applyFont="1" applyBorder="1"/>
    <xf numFmtId="2" fontId="11" fillId="0" borderId="0" xfId="0" applyNumberFormat="1" applyFont="1" applyBorder="1"/>
    <xf numFmtId="0" fontId="0" fillId="0" borderId="7" xfId="0" applyFill="1" applyBorder="1" applyAlignment="1">
      <alignment horizontal="center" vertical="center"/>
    </xf>
    <xf numFmtId="2" fontId="0" fillId="0" borderId="8" xfId="0" applyNumberFormat="1" applyFill="1" applyBorder="1" applyAlignment="1">
      <alignment horizontal="center" vertical="center"/>
    </xf>
    <xf numFmtId="0" fontId="8" fillId="5" borderId="9" xfId="0" applyFont="1" applyFill="1" applyBorder="1" applyAlignment="1">
      <alignment horizontal="center" vertical="center"/>
    </xf>
    <xf numFmtId="0" fontId="8" fillId="5" borderId="30" xfId="0" applyFont="1" applyFill="1" applyBorder="1" applyAlignment="1">
      <alignment horizontal="center" vertical="center"/>
    </xf>
    <xf numFmtId="0" fontId="2" fillId="0" borderId="0" xfId="0" applyFont="1" applyBorder="1" applyAlignment="1">
      <alignment horizontal="center" vertical="center" wrapText="1"/>
    </xf>
    <xf numFmtId="0" fontId="0" fillId="0" borderId="18" xfId="0" applyBorder="1" applyAlignment="1">
      <alignment horizontal="center" vertical="center"/>
    </xf>
    <xf numFmtId="0" fontId="0" fillId="0" borderId="3" xfId="0" applyFill="1" applyBorder="1" applyAlignment="1">
      <alignment horizontal="center" vertical="center"/>
    </xf>
    <xf numFmtId="0" fontId="0" fillId="0" borderId="10" xfId="0" applyFill="1" applyBorder="1" applyAlignment="1">
      <alignment horizontal="center" vertical="center"/>
    </xf>
    <xf numFmtId="0" fontId="0" fillId="0" borderId="31" xfId="0" applyFill="1" applyBorder="1" applyAlignment="1">
      <alignment horizontal="center" vertical="center"/>
    </xf>
    <xf numFmtId="0" fontId="0" fillId="0" borderId="32" xfId="0" applyFill="1" applyBorder="1" applyAlignment="1">
      <alignment horizontal="center" vertical="center"/>
    </xf>
    <xf numFmtId="0" fontId="0" fillId="0" borderId="33" xfId="0" applyFill="1" applyBorder="1" applyAlignment="1">
      <alignment horizontal="center" vertical="center"/>
    </xf>
    <xf numFmtId="0" fontId="0" fillId="0" borderId="34" xfId="0" applyFill="1" applyBorder="1" applyAlignment="1">
      <alignment horizontal="center" vertical="center"/>
    </xf>
    <xf numFmtId="0" fontId="13" fillId="0" borderId="31" xfId="0" applyFont="1" applyBorder="1" applyAlignment="1">
      <alignment horizontal="center" vertical="center" wrapText="1"/>
    </xf>
    <xf numFmtId="1" fontId="0" fillId="0" borderId="3" xfId="0" applyNumberFormat="1" applyBorder="1" applyAlignment="1">
      <alignment horizontal="center" vertical="center"/>
    </xf>
    <xf numFmtId="1" fontId="0" fillId="0" borderId="14" xfId="0" applyNumberFormat="1" applyBorder="1" applyAlignment="1">
      <alignment horizontal="center" vertical="center"/>
    </xf>
    <xf numFmtId="1" fontId="0" fillId="0" borderId="10" xfId="0" applyNumberFormat="1" applyBorder="1" applyAlignment="1">
      <alignment horizontal="center" vertical="center"/>
    </xf>
    <xf numFmtId="1" fontId="0" fillId="0" borderId="11" xfId="0" applyNumberFormat="1" applyBorder="1" applyAlignment="1">
      <alignment horizontal="center" vertical="center"/>
    </xf>
    <xf numFmtId="0" fontId="2" fillId="0" borderId="32" xfId="0" applyFont="1" applyBorder="1" applyAlignment="1">
      <alignment horizontal="center" vertical="center" wrapText="1"/>
    </xf>
    <xf numFmtId="0" fontId="0" fillId="6" borderId="3" xfId="0" applyFill="1" applyBorder="1" applyAlignment="1">
      <alignment horizontal="center" vertical="center"/>
    </xf>
    <xf numFmtId="164" fontId="0" fillId="0" borderId="0" xfId="0" applyNumberFormat="1"/>
    <xf numFmtId="0" fontId="2" fillId="0" borderId="3" xfId="0" applyFont="1" applyBorder="1" applyAlignment="1">
      <alignment horizontal="center" vertical="center"/>
    </xf>
    <xf numFmtId="0" fontId="2" fillId="0" borderId="14" xfId="0" applyFont="1" applyBorder="1" applyAlignment="1">
      <alignment horizontal="center" vertical="center"/>
    </xf>
    <xf numFmtId="164" fontId="2" fillId="0" borderId="0" xfId="0" applyNumberFormat="1" applyFont="1"/>
    <xf numFmtId="0" fontId="2" fillId="0" borderId="0" xfId="0" applyFont="1" applyBorder="1" applyAlignment="1">
      <alignment horizontal="center" vertical="center"/>
    </xf>
    <xf numFmtId="0" fontId="0" fillId="4" borderId="3" xfId="0" applyFill="1" applyBorder="1" applyAlignment="1">
      <alignment horizontal="center" vertical="center"/>
    </xf>
    <xf numFmtId="2" fontId="0" fillId="4" borderId="3" xfId="0" applyNumberFormat="1" applyFill="1" applyBorder="1" applyAlignment="1">
      <alignment horizontal="center" vertical="center"/>
    </xf>
    <xf numFmtId="0" fontId="0" fillId="0" borderId="5" xfId="0" applyFill="1" applyBorder="1" applyAlignment="1">
      <alignment horizontal="center" vertical="center"/>
    </xf>
    <xf numFmtId="2" fontId="0" fillId="0" borderId="22" xfId="0" applyNumberFormat="1" applyFill="1" applyBorder="1" applyAlignment="1">
      <alignment horizontal="center" vertical="center"/>
    </xf>
    <xf numFmtId="0" fontId="2" fillId="0" borderId="35" xfId="0" applyFont="1" applyBorder="1" applyAlignment="1">
      <alignment horizontal="center"/>
    </xf>
    <xf numFmtId="0" fontId="8" fillId="5" borderId="36" xfId="0" applyFont="1" applyFill="1" applyBorder="1" applyAlignment="1">
      <alignment horizontal="center" vertical="center"/>
    </xf>
    <xf numFmtId="0" fontId="8" fillId="5" borderId="37" xfId="0" applyFont="1" applyFill="1" applyBorder="1" applyAlignment="1">
      <alignment horizontal="center" vertical="center"/>
    </xf>
    <xf numFmtId="0" fontId="3" fillId="0" borderId="1" xfId="0" applyFont="1" applyFill="1" applyBorder="1" applyAlignment="1" applyProtection="1">
      <alignment horizontal="left" vertical="center"/>
      <protection locked="0"/>
    </xf>
    <xf numFmtId="0" fontId="3" fillId="0" borderId="1" xfId="0" applyFont="1" applyFill="1" applyBorder="1" applyAlignment="1" applyProtection="1">
      <alignment horizontal="left" vertical="center"/>
    </xf>
    <xf numFmtId="0" fontId="0" fillId="0" borderId="0" xfId="0" applyFill="1" applyProtection="1">
      <protection locked="0"/>
    </xf>
    <xf numFmtId="0" fontId="0" fillId="0" borderId="0" xfId="0" applyProtection="1">
      <protection locked="0"/>
    </xf>
    <xf numFmtId="0" fontId="0" fillId="0" borderId="0" xfId="0" applyAlignment="1" applyProtection="1">
      <alignment horizontal="left" vertical="center"/>
      <protection locked="0"/>
    </xf>
    <xf numFmtId="0" fontId="0" fillId="0" borderId="1" xfId="0" applyFill="1" applyBorder="1" applyAlignment="1" applyProtection="1">
      <alignment horizontal="left" vertical="center"/>
      <protection locked="0"/>
    </xf>
    <xf numFmtId="0" fontId="0" fillId="0" borderId="0" xfId="0" applyFill="1" applyAlignment="1" applyProtection="1">
      <alignment horizontal="left" vertical="center"/>
      <protection locked="0"/>
    </xf>
    <xf numFmtId="0" fontId="2" fillId="0" borderId="0" xfId="0" applyFont="1" applyFill="1" applyBorder="1" applyAlignment="1" applyProtection="1">
      <alignment wrapText="1"/>
      <protection locked="0"/>
    </xf>
    <xf numFmtId="0" fontId="1" fillId="0" borderId="0" xfId="0" applyFont="1" applyFill="1" applyBorder="1" applyAlignment="1" applyProtection="1">
      <alignment horizontal="left" vertical="center"/>
      <protection locked="0"/>
    </xf>
    <xf numFmtId="0" fontId="0" fillId="0" borderId="0" xfId="0" applyFont="1" applyProtection="1">
      <protection locked="0"/>
    </xf>
    <xf numFmtId="0" fontId="0" fillId="0" borderId="1" xfId="0" applyBorder="1" applyAlignment="1" applyProtection="1">
      <alignment horizontal="left" vertical="center"/>
      <protection locked="0"/>
    </xf>
    <xf numFmtId="0" fontId="0" fillId="0" borderId="0" xfId="0" applyBorder="1" applyProtection="1">
      <protection locked="0"/>
    </xf>
    <xf numFmtId="0" fontId="0" fillId="0" borderId="0" xfId="0" applyBorder="1" applyAlignment="1" applyProtection="1">
      <alignment horizontal="left" vertical="center"/>
      <protection locked="0"/>
    </xf>
    <xf numFmtId="0" fontId="0" fillId="0" borderId="0" xfId="0" applyFill="1" applyBorder="1" applyProtection="1">
      <protection locked="0"/>
    </xf>
    <xf numFmtId="0" fontId="0" fillId="0" borderId="0" xfId="0" applyFill="1"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2" fillId="0" borderId="0" xfId="0" applyFont="1" applyFill="1" applyProtection="1">
      <protection locked="0"/>
    </xf>
    <xf numFmtId="0" fontId="0" fillId="2" borderId="24" xfId="0" applyFill="1" applyBorder="1" applyAlignment="1" applyProtection="1">
      <alignment horizontal="left" vertical="center"/>
      <protection locked="0"/>
    </xf>
    <xf numFmtId="2" fontId="0" fillId="0" borderId="0" xfId="0" applyNumberFormat="1" applyFill="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2" fillId="0" borderId="3"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locked="0"/>
    </xf>
    <xf numFmtId="0" fontId="2" fillId="0" borderId="13" xfId="0" applyFont="1" applyFill="1" applyBorder="1" applyProtection="1">
      <protection locked="0"/>
    </xf>
    <xf numFmtId="0" fontId="2" fillId="0" borderId="15" xfId="0" applyFont="1" applyFill="1" applyBorder="1" applyAlignment="1" applyProtection="1">
      <alignment vertical="center"/>
      <protection locked="0"/>
    </xf>
    <xf numFmtId="0" fontId="0" fillId="0" borderId="0" xfId="0" applyBorder="1" applyAlignment="1" applyProtection="1">
      <alignment horizontal="center" vertical="center"/>
      <protection locked="0"/>
    </xf>
    <xf numFmtId="1" fontId="0" fillId="4" borderId="3" xfId="0" applyNumberFormat="1" applyFill="1" applyBorder="1" applyAlignment="1" applyProtection="1">
      <alignment horizontal="center" vertical="center"/>
    </xf>
    <xf numFmtId="1" fontId="0" fillId="0" borderId="3" xfId="0" applyNumberFormat="1" applyFill="1" applyBorder="1" applyAlignment="1" applyProtection="1">
      <alignment horizontal="center" vertical="center"/>
    </xf>
    <xf numFmtId="1" fontId="0" fillId="0" borderId="14" xfId="0" applyNumberFormat="1" applyBorder="1" applyAlignment="1" applyProtection="1">
      <alignment horizontal="center" vertical="center"/>
    </xf>
    <xf numFmtId="1" fontId="2" fillId="3" borderId="10" xfId="0" applyNumberFormat="1" applyFont="1" applyFill="1" applyBorder="1" applyAlignment="1" applyProtection="1">
      <alignment horizontal="center" vertical="center"/>
    </xf>
    <xf numFmtId="1" fontId="0" fillId="0" borderId="10" xfId="0" applyNumberFormat="1" applyFill="1" applyBorder="1" applyAlignment="1" applyProtection="1">
      <alignment horizontal="center" vertical="center"/>
    </xf>
    <xf numFmtId="0" fontId="2" fillId="0" borderId="13" xfId="0" applyFont="1" applyFill="1" applyBorder="1" applyAlignment="1" applyProtection="1">
      <alignment wrapText="1"/>
      <protection locked="0"/>
    </xf>
    <xf numFmtId="0" fontId="0" fillId="6" borderId="40" xfId="0" applyFill="1" applyBorder="1" applyProtection="1">
      <protection locked="0"/>
    </xf>
    <xf numFmtId="0" fontId="0" fillId="6" borderId="0" xfId="0" applyFill="1" applyBorder="1" applyAlignment="1" applyProtection="1">
      <alignment horizontal="left" vertical="center"/>
      <protection locked="0"/>
    </xf>
    <xf numFmtId="0" fontId="0" fillId="6" borderId="0" xfId="0" applyFill="1" applyBorder="1" applyProtection="1">
      <protection locked="0"/>
    </xf>
    <xf numFmtId="0" fontId="0" fillId="6" borderId="41" xfId="0" applyFill="1" applyBorder="1" applyProtection="1">
      <protection locked="0"/>
    </xf>
    <xf numFmtId="0" fontId="0" fillId="6" borderId="42" xfId="0" applyFill="1" applyBorder="1" applyProtection="1">
      <protection locked="0"/>
    </xf>
    <xf numFmtId="0" fontId="0" fillId="6" borderId="43" xfId="0" applyFill="1" applyBorder="1" applyAlignment="1" applyProtection="1">
      <alignment horizontal="left" vertical="center"/>
      <protection locked="0"/>
    </xf>
    <xf numFmtId="0" fontId="0" fillId="6" borderId="43" xfId="0" applyFill="1" applyBorder="1" applyProtection="1">
      <protection locked="0"/>
    </xf>
    <xf numFmtId="0" fontId="0" fillId="6" borderId="44" xfId="0" applyFill="1" applyBorder="1" applyProtection="1">
      <protection locked="0"/>
    </xf>
    <xf numFmtId="0" fontId="0" fillId="7" borderId="0" xfId="0" applyFill="1" applyAlignment="1" applyProtection="1">
      <alignment horizontal="left" vertical="center"/>
      <protection locked="0"/>
    </xf>
    <xf numFmtId="0" fontId="0" fillId="7" borderId="0" xfId="0" applyFill="1" applyProtection="1">
      <protection locked="0"/>
    </xf>
    <xf numFmtId="0" fontId="16" fillId="7" borderId="0" xfId="0" applyFont="1" applyFill="1" applyProtection="1">
      <protection locked="0"/>
    </xf>
    <xf numFmtId="0" fontId="16" fillId="7" borderId="0" xfId="0" applyFont="1" applyFill="1" applyAlignment="1" applyProtection="1">
      <alignment horizontal="left" vertical="center"/>
      <protection locked="0"/>
    </xf>
    <xf numFmtId="0" fontId="16" fillId="2" borderId="23" xfId="0" applyFont="1" applyFill="1" applyBorder="1" applyProtection="1">
      <protection locked="0"/>
    </xf>
    <xf numFmtId="0" fontId="8" fillId="6" borderId="19" xfId="0" applyFont="1" applyFill="1" applyBorder="1" applyAlignment="1" applyProtection="1">
      <alignment horizontal="left" vertical="top" wrapText="1"/>
      <protection locked="0"/>
    </xf>
    <xf numFmtId="0" fontId="2" fillId="6" borderId="19" xfId="0" applyFont="1" applyFill="1" applyBorder="1" applyProtection="1">
      <protection locked="0"/>
    </xf>
    <xf numFmtId="0" fontId="0" fillId="6" borderId="19" xfId="0" applyFill="1" applyBorder="1" applyProtection="1">
      <protection locked="0"/>
    </xf>
    <xf numFmtId="0" fontId="8" fillId="6" borderId="20" xfId="0" applyFont="1" applyFill="1" applyBorder="1" applyAlignment="1" applyProtection="1">
      <alignment horizontal="left" vertical="top" wrapText="1"/>
      <protection locked="0"/>
    </xf>
    <xf numFmtId="0" fontId="0" fillId="0" borderId="39" xfId="0" applyBorder="1" applyProtection="1">
      <protection locked="0"/>
    </xf>
    <xf numFmtId="0" fontId="0" fillId="0" borderId="40" xfId="0" applyFill="1" applyBorder="1" applyProtection="1">
      <protection locked="0"/>
    </xf>
    <xf numFmtId="0" fontId="0" fillId="0" borderId="41" xfId="0" applyBorder="1" applyAlignment="1" applyProtection="1">
      <alignment horizontal="left" vertical="center"/>
      <protection locked="0"/>
    </xf>
    <xf numFmtId="0" fontId="0" fillId="0" borderId="42" xfId="0" applyFill="1" applyBorder="1" applyProtection="1">
      <protection locked="0"/>
    </xf>
    <xf numFmtId="0" fontId="0" fillId="6" borderId="40" xfId="0" applyFill="1" applyBorder="1" applyAlignment="1" applyProtection="1">
      <alignment wrapText="1"/>
      <protection locked="0"/>
    </xf>
    <xf numFmtId="0" fontId="2" fillId="0" borderId="0" xfId="0" applyFont="1" applyFill="1" applyAlignment="1" applyProtection="1">
      <alignment wrapText="1"/>
      <protection locked="0"/>
    </xf>
    <xf numFmtId="0" fontId="2" fillId="0" borderId="0" xfId="0" applyFont="1" applyFill="1" applyAlignment="1" applyProtection="1">
      <alignment horizontal="left" vertical="top"/>
      <protection locked="0"/>
    </xf>
    <xf numFmtId="0" fontId="2" fillId="0" borderId="0" xfId="0" applyFont="1" applyFill="1" applyAlignment="1" applyProtection="1">
      <alignment vertical="top"/>
      <protection locked="0"/>
    </xf>
    <xf numFmtId="0" fontId="0" fillId="0" borderId="40" xfId="0" applyBorder="1" applyProtection="1">
      <protection locked="0"/>
    </xf>
    <xf numFmtId="0" fontId="0" fillId="0" borderId="42" xfId="0" applyBorder="1" applyProtection="1">
      <protection locked="0"/>
    </xf>
    <xf numFmtId="1" fontId="0" fillId="0" borderId="0" xfId="0" applyNumberFormat="1" applyFill="1" applyBorder="1" applyAlignment="1" applyProtection="1">
      <alignment horizontal="center" vertical="center"/>
    </xf>
    <xf numFmtId="0" fontId="8"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left" vertical="top" wrapText="1"/>
      <protection locked="0"/>
    </xf>
    <xf numFmtId="0" fontId="2" fillId="0" borderId="0" xfId="0" applyFont="1" applyFill="1" applyBorder="1" applyAlignment="1" applyProtection="1">
      <alignment horizontal="center" vertical="center" wrapText="1"/>
      <protection locked="0"/>
    </xf>
    <xf numFmtId="0" fontId="0" fillId="2" borderId="25" xfId="0" applyFill="1" applyBorder="1" applyAlignment="1" applyProtection="1">
      <alignment horizontal="left" vertical="center"/>
      <protection locked="0"/>
    </xf>
    <xf numFmtId="0" fontId="0" fillId="6" borderId="20" xfId="0" applyFill="1" applyBorder="1" applyAlignment="1" applyProtection="1">
      <alignment horizontal="left" vertical="center"/>
      <protection locked="0"/>
    </xf>
    <xf numFmtId="1" fontId="0" fillId="4" borderId="14" xfId="0" applyNumberFormat="1" applyFill="1" applyBorder="1" applyAlignment="1" applyProtection="1">
      <alignment horizontal="center" vertical="center"/>
    </xf>
    <xf numFmtId="1" fontId="2" fillId="3" borderId="11" xfId="0" applyNumberFormat="1" applyFont="1" applyFill="1" applyBorder="1" applyAlignment="1" applyProtection="1">
      <alignment horizontal="center" vertical="center"/>
    </xf>
    <xf numFmtId="1" fontId="0" fillId="0" borderId="11" xfId="0" applyNumberFormat="1" applyBorder="1" applyAlignment="1" applyProtection="1">
      <alignment horizontal="center" vertical="center"/>
    </xf>
    <xf numFmtId="0" fontId="16" fillId="7" borderId="0" xfId="0" applyFont="1" applyFill="1" applyAlignment="1" applyProtection="1">
      <alignment vertical="center"/>
      <protection locked="0"/>
    </xf>
    <xf numFmtId="0" fontId="0" fillId="0" borderId="0" xfId="0" applyFill="1" applyAlignment="1" applyProtection="1">
      <alignment vertical="center"/>
      <protection locked="0"/>
    </xf>
    <xf numFmtId="0" fontId="0" fillId="6" borderId="40" xfId="0" applyFill="1" applyBorder="1" applyAlignment="1" applyProtection="1">
      <alignment vertical="center" wrapText="1"/>
      <protection locked="0"/>
    </xf>
    <xf numFmtId="0" fontId="0" fillId="6" borderId="0" xfId="0" applyFill="1" applyBorder="1" applyAlignment="1" applyProtection="1">
      <alignment vertical="center"/>
      <protection locked="0"/>
    </xf>
    <xf numFmtId="0" fontId="0" fillId="0" borderId="0" xfId="0" applyAlignment="1" applyProtection="1">
      <alignment vertical="center"/>
      <protection locked="0"/>
    </xf>
    <xf numFmtId="0" fontId="0" fillId="6" borderId="41" xfId="0" applyFill="1" applyBorder="1" applyAlignment="1" applyProtection="1">
      <alignment vertical="center"/>
      <protection locked="0"/>
    </xf>
    <xf numFmtId="0" fontId="0" fillId="6" borderId="40" xfId="0" applyFill="1" applyBorder="1" applyAlignment="1" applyProtection="1">
      <alignment vertical="center"/>
      <protection locked="0"/>
    </xf>
    <xf numFmtId="0" fontId="0" fillId="6" borderId="42" xfId="0" applyFill="1" applyBorder="1" applyAlignment="1" applyProtection="1">
      <alignment vertical="center"/>
      <protection locked="0"/>
    </xf>
    <xf numFmtId="0" fontId="0" fillId="6" borderId="43" xfId="0" applyFill="1" applyBorder="1" applyAlignment="1" applyProtection="1">
      <alignment vertical="center"/>
      <protection locked="0"/>
    </xf>
    <xf numFmtId="0" fontId="0" fillId="6" borderId="44" xfId="0" applyFill="1" applyBorder="1" applyAlignment="1" applyProtection="1">
      <alignment vertical="center"/>
      <protection locked="0"/>
    </xf>
    <xf numFmtId="0" fontId="0" fillId="7" borderId="0" xfId="0" applyFill="1" applyAlignment="1" applyProtection="1">
      <alignment vertical="center"/>
      <protection locked="0"/>
    </xf>
    <xf numFmtId="0" fontId="2" fillId="0" borderId="0" xfId="0" applyFont="1" applyFill="1" applyAlignment="1" applyProtection="1">
      <alignment vertical="center"/>
      <protection locked="0"/>
    </xf>
    <xf numFmtId="0" fontId="0" fillId="0" borderId="1" xfId="0" applyFill="1" applyBorder="1" applyAlignment="1" applyProtection="1">
      <alignment vertical="center"/>
      <protection locked="0"/>
    </xf>
    <xf numFmtId="0" fontId="2" fillId="0" borderId="0" xfId="0" applyFont="1" applyFill="1" applyBorder="1" applyAlignment="1" applyProtection="1">
      <alignment vertical="center" wrapText="1"/>
      <protection locked="0"/>
    </xf>
    <xf numFmtId="0" fontId="0" fillId="0" borderId="0" xfId="0" applyFont="1" applyAlignment="1" applyProtection="1">
      <alignment vertical="center"/>
      <protection locked="0"/>
    </xf>
    <xf numFmtId="0" fontId="0" fillId="0" borderId="0" xfId="0" applyBorder="1" applyAlignment="1" applyProtection="1">
      <alignment vertical="center"/>
      <protection locked="0"/>
    </xf>
    <xf numFmtId="0" fontId="0" fillId="0" borderId="0" xfId="0" applyFill="1" applyBorder="1" applyAlignment="1" applyProtection="1">
      <alignment vertical="center"/>
      <protection locked="0"/>
    </xf>
    <xf numFmtId="0" fontId="2" fillId="0" borderId="0" xfId="0" applyFont="1" applyFill="1" applyAlignment="1" applyProtection="1">
      <alignment horizontal="left" vertical="center"/>
      <protection locked="0"/>
    </xf>
    <xf numFmtId="0" fontId="2" fillId="0" borderId="0" xfId="0" applyFont="1" applyFill="1" applyAlignment="1" applyProtection="1">
      <alignment vertical="center" wrapText="1"/>
      <protection locked="0"/>
    </xf>
    <xf numFmtId="0" fontId="0" fillId="0" borderId="39" xfId="0" applyBorder="1" applyAlignment="1" applyProtection="1">
      <alignment vertical="center"/>
      <protection locked="0"/>
    </xf>
    <xf numFmtId="0" fontId="0" fillId="0" borderId="40" xfId="0" applyFill="1" applyBorder="1" applyAlignment="1" applyProtection="1">
      <alignment vertical="center"/>
      <protection locked="0"/>
    </xf>
    <xf numFmtId="0" fontId="0" fillId="0" borderId="2" xfId="0" applyBorder="1" applyAlignment="1" applyProtection="1">
      <alignment vertical="center"/>
      <protection locked="0"/>
    </xf>
    <xf numFmtId="0" fontId="0" fillId="0" borderId="42" xfId="0" applyFill="1" applyBorder="1" applyAlignment="1" applyProtection="1">
      <alignment vertical="center"/>
      <protection locked="0"/>
    </xf>
    <xf numFmtId="0" fontId="0" fillId="0" borderId="40" xfId="0" applyBorder="1" applyAlignment="1" applyProtection="1">
      <alignment vertical="center"/>
      <protection locked="0"/>
    </xf>
    <xf numFmtId="0" fontId="0" fillId="0" borderId="42" xfId="0" applyBorder="1" applyAlignment="1" applyProtection="1">
      <alignment vertical="center"/>
      <protection locked="0"/>
    </xf>
    <xf numFmtId="0" fontId="16" fillId="2" borderId="23" xfId="0" applyFont="1" applyFill="1" applyBorder="1" applyAlignment="1" applyProtection="1">
      <alignment vertical="center"/>
      <protection locked="0"/>
    </xf>
    <xf numFmtId="0" fontId="0" fillId="2" borderId="24" xfId="0" applyFill="1" applyBorder="1" applyAlignment="1" applyProtection="1">
      <alignment vertical="center"/>
      <protection locked="0"/>
    </xf>
    <xf numFmtId="0" fontId="0" fillId="2" borderId="25" xfId="0" applyFill="1" applyBorder="1" applyAlignment="1" applyProtection="1">
      <alignment vertical="center"/>
      <protection locked="0"/>
    </xf>
    <xf numFmtId="0" fontId="8" fillId="6" borderId="19" xfId="0" applyFont="1" applyFill="1" applyBorder="1" applyAlignment="1" applyProtection="1">
      <alignment horizontal="left" vertical="center" wrapText="1"/>
      <protection locked="0"/>
    </xf>
    <xf numFmtId="0" fontId="8" fillId="6" borderId="0" xfId="0" applyFont="1" applyFill="1" applyBorder="1" applyAlignment="1" applyProtection="1">
      <alignment horizontal="left" vertical="center" wrapText="1"/>
      <protection locked="0"/>
    </xf>
    <xf numFmtId="0" fontId="8" fillId="6" borderId="20" xfId="0" applyFont="1" applyFill="1" applyBorder="1" applyAlignment="1" applyProtection="1">
      <alignment horizontal="left" vertical="center" wrapText="1"/>
      <protection locked="0"/>
    </xf>
    <xf numFmtId="0" fontId="2" fillId="6" borderId="19" xfId="0" applyFont="1" applyFill="1" applyBorder="1" applyAlignment="1" applyProtection="1">
      <alignment vertical="center"/>
      <protection locked="0"/>
    </xf>
    <xf numFmtId="0" fontId="0" fillId="6" borderId="19" xfId="0" applyFill="1" applyBorder="1" applyAlignment="1" applyProtection="1">
      <alignment vertical="center"/>
      <protection locked="0"/>
    </xf>
    <xf numFmtId="0" fontId="2" fillId="0" borderId="13" xfId="0" applyFont="1" applyFill="1" applyBorder="1" applyAlignment="1" applyProtection="1">
      <alignment vertical="center"/>
      <protection locked="0"/>
    </xf>
    <xf numFmtId="0" fontId="2" fillId="0" borderId="13" xfId="0" applyFont="1" applyFill="1" applyBorder="1" applyAlignment="1" applyProtection="1">
      <alignment vertical="center" wrapText="1"/>
      <protection locked="0"/>
    </xf>
    <xf numFmtId="0" fontId="2" fillId="0" borderId="0" xfId="0" applyFont="1" applyFill="1" applyBorder="1" applyAlignment="1" applyProtection="1">
      <alignment horizontal="left" vertical="center" wrapText="1"/>
      <protection locked="0"/>
    </xf>
    <xf numFmtId="0" fontId="0" fillId="0" borderId="1" xfId="0" applyFill="1" applyBorder="1" applyAlignment="1" applyProtection="1">
      <alignment vertical="center" wrapText="1"/>
      <protection locked="0"/>
    </xf>
    <xf numFmtId="0" fontId="0" fillId="0" borderId="1" xfId="0" applyFill="1" applyBorder="1" applyAlignment="1" applyProtection="1">
      <alignment horizontal="left" vertical="center" wrapText="1"/>
      <protection locked="0"/>
    </xf>
    <xf numFmtId="0" fontId="0" fillId="0" borderId="39" xfId="0" applyBorder="1" applyAlignment="1" applyProtection="1">
      <alignment horizontal="left" vertical="center"/>
      <protection locked="0"/>
    </xf>
    <xf numFmtId="0" fontId="0" fillId="0" borderId="40" xfId="0" applyFill="1" applyBorder="1" applyAlignment="1" applyProtection="1">
      <alignment horizontal="left" vertical="center"/>
      <protection locked="0"/>
    </xf>
    <xf numFmtId="0" fontId="0" fillId="0" borderId="42" xfId="0" applyFill="1" applyBorder="1" applyAlignment="1" applyProtection="1">
      <alignment horizontal="left" vertical="center"/>
      <protection locked="0"/>
    </xf>
    <xf numFmtId="0" fontId="0" fillId="0" borderId="35"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0" borderId="35" xfId="0" applyFill="1" applyBorder="1" applyAlignment="1" applyProtection="1">
      <alignment horizontal="left" vertical="center" wrapText="1"/>
      <protection locked="0"/>
    </xf>
    <xf numFmtId="0" fontId="0" fillId="0" borderId="37" xfId="0" applyFill="1" applyBorder="1" applyAlignment="1" applyProtection="1">
      <alignment horizontal="left" vertical="center" wrapText="1"/>
      <protection locked="0"/>
    </xf>
    <xf numFmtId="0" fontId="15" fillId="2" borderId="31" xfId="0" applyFont="1" applyFill="1" applyBorder="1" applyAlignment="1" applyProtection="1">
      <alignment horizontal="center" vertical="center"/>
      <protection locked="0"/>
    </xf>
    <xf numFmtId="0" fontId="15" fillId="2" borderId="45" xfId="0" applyFont="1" applyFill="1" applyBorder="1" applyAlignment="1" applyProtection="1">
      <alignment horizontal="center" vertical="center"/>
      <protection locked="0"/>
    </xf>
    <xf numFmtId="0" fontId="15" fillId="2" borderId="46" xfId="0" applyFont="1" applyFill="1" applyBorder="1" applyAlignment="1" applyProtection="1">
      <alignment horizontal="center" vertical="center"/>
      <protection locked="0"/>
    </xf>
    <xf numFmtId="2" fontId="2" fillId="0" borderId="3" xfId="0" applyNumberFormat="1" applyFont="1" applyFill="1" applyBorder="1" applyAlignment="1" applyProtection="1">
      <alignment horizontal="center" vertical="center"/>
      <protection locked="0"/>
    </xf>
    <xf numFmtId="2" fontId="2" fillId="0" borderId="14" xfId="0" applyNumberFormat="1" applyFont="1" applyFill="1" applyBorder="1" applyAlignment="1" applyProtection="1">
      <alignment horizontal="center" vertical="center"/>
      <protection locked="0"/>
    </xf>
    <xf numFmtId="0" fontId="8" fillId="2" borderId="19" xfId="0" applyFont="1" applyFill="1" applyBorder="1" applyAlignment="1" applyProtection="1">
      <alignment horizontal="left" vertical="center" wrapText="1"/>
      <protection locked="0"/>
    </xf>
    <xf numFmtId="0" fontId="8" fillId="2" borderId="0" xfId="0" applyFont="1" applyFill="1" applyBorder="1" applyAlignment="1" applyProtection="1">
      <alignment horizontal="left" vertical="center" wrapText="1"/>
      <protection locked="0"/>
    </xf>
    <xf numFmtId="0" fontId="8" fillId="2" borderId="20" xfId="0" applyFont="1" applyFill="1" applyBorder="1" applyAlignment="1" applyProtection="1">
      <alignment horizontal="left" vertical="center" wrapText="1"/>
      <protection locked="0"/>
    </xf>
    <xf numFmtId="0" fontId="0" fillId="0" borderId="35"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2" fontId="2" fillId="0" borderId="0" xfId="0" applyNumberFormat="1" applyFont="1" applyFill="1" applyBorder="1" applyAlignment="1" applyProtection="1">
      <alignment horizontal="center" vertical="center"/>
      <protection locked="0"/>
    </xf>
    <xf numFmtId="0" fontId="8" fillId="2" borderId="19" xfId="0" applyFont="1" applyFill="1" applyBorder="1" applyAlignment="1" applyProtection="1">
      <alignment horizontal="left" vertical="top" wrapText="1"/>
      <protection locked="0"/>
    </xf>
    <xf numFmtId="0" fontId="8" fillId="2" borderId="20" xfId="0" applyFont="1" applyFill="1" applyBorder="1" applyAlignment="1" applyProtection="1">
      <alignment horizontal="left" vertical="top" wrapText="1"/>
      <protection locked="0"/>
    </xf>
    <xf numFmtId="0" fontId="2" fillId="0" borderId="16"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17"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9"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2" fillId="0" borderId="3" xfId="0" applyFont="1" applyBorder="1" applyAlignment="1">
      <alignment horizontal="center" vertical="center"/>
    </xf>
    <xf numFmtId="0" fontId="2" fillId="0" borderId="14" xfId="0" applyFont="1" applyBorder="1" applyAlignment="1">
      <alignment horizontal="center" vertical="center"/>
    </xf>
    <xf numFmtId="0" fontId="0" fillId="0" borderId="4" xfId="0" applyBorder="1" applyAlignment="1">
      <alignment horizontal="center" vertical="center"/>
    </xf>
    <xf numFmtId="0" fontId="0" fillId="0" borderId="38" xfId="0" applyBorder="1" applyAlignment="1">
      <alignment horizontal="center" vertical="center"/>
    </xf>
    <xf numFmtId="0" fontId="0" fillId="0" borderId="5" xfId="0" applyBorder="1" applyAlignment="1">
      <alignment horizontal="center" vertical="center"/>
    </xf>
    <xf numFmtId="0" fontId="0" fillId="0" borderId="4" xfId="0" applyFill="1" applyBorder="1" applyAlignment="1">
      <alignment horizontal="center" vertical="center"/>
    </xf>
    <xf numFmtId="0" fontId="0" fillId="0" borderId="38" xfId="0" applyFill="1" applyBorder="1" applyAlignment="1">
      <alignment horizontal="center" vertical="center"/>
    </xf>
    <xf numFmtId="0" fontId="0" fillId="0" borderId="5" xfId="0"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2.png"/><Relationship Id="rId4" Type="http://schemas.openxmlformats.org/officeDocument/2006/relationships/image" Target="../media/image40.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7.png"/><Relationship Id="rId3" Type="http://schemas.openxmlformats.org/officeDocument/2006/relationships/image" Target="../media/image43.png"/><Relationship Id="rId7" Type="http://schemas.openxmlformats.org/officeDocument/2006/relationships/image" Target="../media/image46.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30.png"/></Relationships>
</file>

<file path=xl/drawings/_rels/drawing9.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3.png"/><Relationship Id="rId7" Type="http://schemas.openxmlformats.org/officeDocument/2006/relationships/image" Target="../media/image19.png"/><Relationship Id="rId2" Type="http://schemas.openxmlformats.org/officeDocument/2006/relationships/image" Target="../media/image32.png"/><Relationship Id="rId1" Type="http://schemas.openxmlformats.org/officeDocument/2006/relationships/image" Target="../media/image31.png"/><Relationship Id="rId6" Type="http://schemas.openxmlformats.org/officeDocument/2006/relationships/image" Target="../media/image36.png"/><Relationship Id="rId5" Type="http://schemas.openxmlformats.org/officeDocument/2006/relationships/image" Target="../media/image35.png"/><Relationship Id="rId4" Type="http://schemas.openxmlformats.org/officeDocument/2006/relationships/image" Target="../media/image34.png"/></Relationships>
</file>

<file path=xl/drawings/drawing1.xml><?xml version="1.0" encoding="utf-8"?>
<xdr:wsDr xmlns:xdr="http://schemas.openxmlformats.org/drawingml/2006/spreadsheetDrawing" xmlns:a="http://schemas.openxmlformats.org/drawingml/2006/main">
  <xdr:twoCellAnchor editAs="oneCell">
    <xdr:from>
      <xdr:col>5</xdr:col>
      <xdr:colOff>2007693</xdr:colOff>
      <xdr:row>4</xdr:row>
      <xdr:rowOff>37551</xdr:rowOff>
    </xdr:from>
    <xdr:to>
      <xdr:col>6</xdr:col>
      <xdr:colOff>1429967</xdr:colOff>
      <xdr:row>6</xdr:row>
      <xdr:rowOff>137887</xdr:rowOff>
    </xdr:to>
    <xdr:pic>
      <xdr:nvPicPr>
        <xdr:cNvPr id="4" name="Imagen 3">
          <a:extLst>
            <a:ext uri="{FF2B5EF4-FFF2-40B4-BE49-F238E27FC236}">
              <a16:creationId xmlns="" xmlns:a16="http://schemas.microsoft.com/office/drawing/2014/main" id="{79401605-6E71-4C76-A9FB-6DFC46565A0D}"/>
            </a:ext>
          </a:extLst>
        </xdr:cNvPr>
        <xdr:cNvPicPr>
          <a:picLocks noChangeAspect="1"/>
        </xdr:cNvPicPr>
      </xdr:nvPicPr>
      <xdr:blipFill>
        <a:blip xmlns:r="http://schemas.openxmlformats.org/officeDocument/2006/relationships" r:embed="rId1" cstate="print"/>
        <a:stretch>
          <a:fillRect/>
        </a:stretch>
      </xdr:blipFill>
      <xdr:spPr>
        <a:xfrm>
          <a:off x="12389943" y="875751"/>
          <a:ext cx="2108324" cy="500386"/>
        </a:xfrm>
        <a:prstGeom prst="rect">
          <a:avLst/>
        </a:prstGeom>
      </xdr:spPr>
    </xdr:pic>
    <xdr:clientData/>
  </xdr:twoCellAnchor>
  <xdr:twoCellAnchor editAs="oneCell">
    <xdr:from>
      <xdr:col>3</xdr:col>
      <xdr:colOff>3819525</xdr:colOff>
      <xdr:row>3</xdr:row>
      <xdr:rowOff>47625</xdr:rowOff>
    </xdr:from>
    <xdr:to>
      <xdr:col>5</xdr:col>
      <xdr:colOff>1711840</xdr:colOff>
      <xdr:row>7</xdr:row>
      <xdr:rowOff>41276</xdr:rowOff>
    </xdr:to>
    <xdr:pic>
      <xdr:nvPicPr>
        <xdr:cNvPr id="5" name="Imagen 4">
          <a:extLst>
            <a:ext uri="{FF2B5EF4-FFF2-40B4-BE49-F238E27FC236}">
              <a16:creationId xmlns="" xmlns:a16="http://schemas.microsoft.com/office/drawing/2014/main" id="{0DFDA61D-4682-4171-A12D-74E2FEADF968}"/>
            </a:ext>
          </a:extLst>
        </xdr:cNvPr>
        <xdr:cNvPicPr>
          <a:picLocks noChangeAspect="1"/>
        </xdr:cNvPicPr>
      </xdr:nvPicPr>
      <xdr:blipFill rotWithShape="1">
        <a:blip xmlns:r="http://schemas.openxmlformats.org/officeDocument/2006/relationships" r:embed="rId2" cstate="print"/>
        <a:srcRect l="6128" t="27010" r="8244" b="12797"/>
        <a:stretch/>
      </xdr:blipFill>
      <xdr:spPr>
        <a:xfrm>
          <a:off x="7715250" y="695325"/>
          <a:ext cx="4378840" cy="7937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16</xdr:row>
      <xdr:rowOff>0</xdr:rowOff>
    </xdr:from>
    <xdr:to>
      <xdr:col>16</xdr:col>
      <xdr:colOff>504286</xdr:colOff>
      <xdr:row>16</xdr:row>
      <xdr:rowOff>180952</xdr:rowOff>
    </xdr:to>
    <xdr:pic>
      <xdr:nvPicPr>
        <xdr:cNvPr id="2" name="Imagen 1">
          <a:extLst>
            <a:ext uri="{FF2B5EF4-FFF2-40B4-BE49-F238E27FC236}">
              <a16:creationId xmlns=""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9686925" y="3238500"/>
          <a:ext cx="4076161" cy="180952"/>
        </a:xfrm>
        <a:prstGeom prst="rect">
          <a:avLst/>
        </a:prstGeom>
      </xdr:spPr>
    </xdr:pic>
    <xdr:clientData/>
  </xdr:twoCellAnchor>
  <xdr:twoCellAnchor editAs="oneCell">
    <xdr:from>
      <xdr:col>11</xdr:col>
      <xdr:colOff>114299</xdr:colOff>
      <xdr:row>16</xdr:row>
      <xdr:rowOff>171450</xdr:rowOff>
    </xdr:from>
    <xdr:to>
      <xdr:col>22</xdr:col>
      <xdr:colOff>417839</xdr:colOff>
      <xdr:row>19</xdr:row>
      <xdr:rowOff>139947</xdr:rowOff>
    </xdr:to>
    <xdr:pic>
      <xdr:nvPicPr>
        <xdr:cNvPr id="3" name="Imagen 2">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stretch>
          <a:fillRect/>
        </a:stretch>
      </xdr:blipFill>
      <xdr:spPr>
        <a:xfrm>
          <a:off x="9801224" y="3409950"/>
          <a:ext cx="8161665" cy="539997"/>
        </a:xfrm>
        <a:prstGeom prst="rect">
          <a:avLst/>
        </a:prstGeom>
      </xdr:spPr>
    </xdr:pic>
    <xdr:clientData/>
  </xdr:twoCellAnchor>
  <xdr:twoCellAnchor editAs="oneCell">
    <xdr:from>
      <xdr:col>12</xdr:col>
      <xdr:colOff>0</xdr:colOff>
      <xdr:row>22</xdr:row>
      <xdr:rowOff>0</xdr:rowOff>
    </xdr:from>
    <xdr:to>
      <xdr:col>18</xdr:col>
      <xdr:colOff>389940</xdr:colOff>
      <xdr:row>26</xdr:row>
      <xdr:rowOff>161810</xdr:rowOff>
    </xdr:to>
    <xdr:pic>
      <xdr:nvPicPr>
        <xdr:cNvPr id="4" name="Imagen 3">
          <a:extLst>
            <a:ext uri="{FF2B5EF4-FFF2-40B4-BE49-F238E27FC236}">
              <a16:creationId xmlns=""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stretch>
          <a:fillRect/>
        </a:stretch>
      </xdr:blipFill>
      <xdr:spPr>
        <a:xfrm>
          <a:off x="10401300" y="4381500"/>
          <a:ext cx="4676190" cy="923810"/>
        </a:xfrm>
        <a:prstGeom prst="rect">
          <a:avLst/>
        </a:prstGeom>
      </xdr:spPr>
    </xdr:pic>
    <xdr:clientData/>
  </xdr:twoCellAnchor>
  <xdr:twoCellAnchor editAs="oneCell">
    <xdr:from>
      <xdr:col>11</xdr:col>
      <xdr:colOff>0</xdr:colOff>
      <xdr:row>7</xdr:row>
      <xdr:rowOff>0</xdr:rowOff>
    </xdr:from>
    <xdr:to>
      <xdr:col>17</xdr:col>
      <xdr:colOff>247083</xdr:colOff>
      <xdr:row>7</xdr:row>
      <xdr:rowOff>171429</xdr:rowOff>
    </xdr:to>
    <xdr:pic>
      <xdr:nvPicPr>
        <xdr:cNvPr id="5" name="Imagen 4">
          <a:extLst>
            <a:ext uri="{FF2B5EF4-FFF2-40B4-BE49-F238E27FC236}">
              <a16:creationId xmlns="" xmlns:a16="http://schemas.microsoft.com/office/drawing/2014/main" id="{00000000-0008-0000-0900-000005000000}"/>
            </a:ext>
          </a:extLst>
        </xdr:cNvPr>
        <xdr:cNvPicPr>
          <a:picLocks noChangeAspect="1"/>
        </xdr:cNvPicPr>
      </xdr:nvPicPr>
      <xdr:blipFill>
        <a:blip xmlns:r="http://schemas.openxmlformats.org/officeDocument/2006/relationships" r:embed="rId4" cstate="print"/>
        <a:stretch>
          <a:fillRect/>
        </a:stretch>
      </xdr:blipFill>
      <xdr:spPr>
        <a:xfrm>
          <a:off x="9686925" y="1524000"/>
          <a:ext cx="4533333" cy="171429"/>
        </a:xfrm>
        <a:prstGeom prst="rect">
          <a:avLst/>
        </a:prstGeom>
      </xdr:spPr>
    </xdr:pic>
    <xdr:clientData/>
  </xdr:twoCellAnchor>
  <xdr:oneCellAnchor>
    <xdr:from>
      <xdr:col>11</xdr:col>
      <xdr:colOff>0</xdr:colOff>
      <xdr:row>32</xdr:row>
      <xdr:rowOff>0</xdr:rowOff>
    </xdr:from>
    <xdr:ext cx="4076161" cy="180952"/>
    <xdr:pic>
      <xdr:nvPicPr>
        <xdr:cNvPr id="8" name="Imagen 7">
          <a:extLst>
            <a:ext uri="{FF2B5EF4-FFF2-40B4-BE49-F238E27FC236}">
              <a16:creationId xmlns="" xmlns:a16="http://schemas.microsoft.com/office/drawing/2014/main" id="{00000000-0008-0000-0900-000008000000}"/>
            </a:ext>
          </a:extLst>
        </xdr:cNvPr>
        <xdr:cNvPicPr>
          <a:picLocks noChangeAspect="1"/>
        </xdr:cNvPicPr>
      </xdr:nvPicPr>
      <xdr:blipFill>
        <a:blip xmlns:r="http://schemas.openxmlformats.org/officeDocument/2006/relationships" r:embed="rId1" cstate="print"/>
        <a:stretch>
          <a:fillRect/>
        </a:stretch>
      </xdr:blipFill>
      <xdr:spPr>
        <a:xfrm>
          <a:off x="9686925" y="3238500"/>
          <a:ext cx="4076161" cy="180952"/>
        </a:xfrm>
        <a:prstGeom prst="rect">
          <a:avLst/>
        </a:prstGeom>
      </xdr:spPr>
    </xdr:pic>
    <xdr:clientData/>
  </xdr:oneCellAnchor>
  <xdr:oneCellAnchor>
    <xdr:from>
      <xdr:col>11</xdr:col>
      <xdr:colOff>114299</xdr:colOff>
      <xdr:row>32</xdr:row>
      <xdr:rowOff>171450</xdr:rowOff>
    </xdr:from>
    <xdr:ext cx="8161665" cy="539997"/>
    <xdr:pic>
      <xdr:nvPicPr>
        <xdr:cNvPr id="9" name="Imagen 8">
          <a:extLst>
            <a:ext uri="{FF2B5EF4-FFF2-40B4-BE49-F238E27FC236}">
              <a16:creationId xmlns="" xmlns:a16="http://schemas.microsoft.com/office/drawing/2014/main" id="{00000000-0008-0000-0900-000009000000}"/>
            </a:ext>
          </a:extLst>
        </xdr:cNvPr>
        <xdr:cNvPicPr>
          <a:picLocks noChangeAspect="1"/>
        </xdr:cNvPicPr>
      </xdr:nvPicPr>
      <xdr:blipFill>
        <a:blip xmlns:r="http://schemas.openxmlformats.org/officeDocument/2006/relationships" r:embed="rId2" cstate="print"/>
        <a:stretch>
          <a:fillRect/>
        </a:stretch>
      </xdr:blipFill>
      <xdr:spPr>
        <a:xfrm>
          <a:off x="9801224" y="3409950"/>
          <a:ext cx="8161665" cy="53999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6</xdr:col>
      <xdr:colOff>619125</xdr:colOff>
      <xdr:row>4</xdr:row>
      <xdr:rowOff>9525</xdr:rowOff>
    </xdr:from>
    <xdr:to>
      <xdr:col>15</xdr:col>
      <xdr:colOff>208744</xdr:colOff>
      <xdr:row>14</xdr:row>
      <xdr:rowOff>18811</xdr:rowOff>
    </xdr:to>
    <xdr:pic>
      <xdr:nvPicPr>
        <xdr:cNvPr id="2" name="3 Imagen">
          <a:extLst>
            <a:ext uri="{FF2B5EF4-FFF2-40B4-BE49-F238E27FC236}">
              <a16:creationId xmlns=""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6591300" y="35328225"/>
          <a:ext cx="6447619" cy="1914286"/>
        </a:xfrm>
        <a:prstGeom prst="rect">
          <a:avLst/>
        </a:prstGeom>
      </xdr:spPr>
    </xdr:pic>
    <xdr:clientData/>
  </xdr:twoCellAnchor>
  <xdr:twoCellAnchor editAs="oneCell">
    <xdr:from>
      <xdr:col>8</xdr:col>
      <xdr:colOff>0</xdr:colOff>
      <xdr:row>15</xdr:row>
      <xdr:rowOff>0</xdr:rowOff>
    </xdr:from>
    <xdr:to>
      <xdr:col>15</xdr:col>
      <xdr:colOff>704096</xdr:colOff>
      <xdr:row>20</xdr:row>
      <xdr:rowOff>18929</xdr:rowOff>
    </xdr:to>
    <xdr:pic>
      <xdr:nvPicPr>
        <xdr:cNvPr id="3" name="4 Imagen">
          <a:extLst>
            <a:ext uri="{FF2B5EF4-FFF2-40B4-BE49-F238E27FC236}">
              <a16:creationId xmlns=""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stretch>
          <a:fillRect/>
        </a:stretch>
      </xdr:blipFill>
      <xdr:spPr>
        <a:xfrm>
          <a:off x="7496175" y="37414200"/>
          <a:ext cx="6038096" cy="971429"/>
        </a:xfrm>
        <a:prstGeom prst="rect">
          <a:avLst/>
        </a:prstGeom>
      </xdr:spPr>
    </xdr:pic>
    <xdr:clientData/>
  </xdr:twoCellAnchor>
  <xdr:twoCellAnchor editAs="oneCell">
    <xdr:from>
      <xdr:col>11</xdr:col>
      <xdr:colOff>0</xdr:colOff>
      <xdr:row>38</xdr:row>
      <xdr:rowOff>0</xdr:rowOff>
    </xdr:from>
    <xdr:to>
      <xdr:col>20</xdr:col>
      <xdr:colOff>56286</xdr:colOff>
      <xdr:row>67</xdr:row>
      <xdr:rowOff>94548</xdr:rowOff>
    </xdr:to>
    <xdr:pic>
      <xdr:nvPicPr>
        <xdr:cNvPr id="4" name="Imagen 3">
          <a:extLst>
            <a:ext uri="{FF2B5EF4-FFF2-40B4-BE49-F238E27FC236}">
              <a16:creationId xmlns=""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stretch>
          <a:fillRect/>
        </a:stretch>
      </xdr:blipFill>
      <xdr:spPr>
        <a:xfrm>
          <a:off x="8382000" y="7239000"/>
          <a:ext cx="6914286" cy="5619048"/>
        </a:xfrm>
        <a:prstGeom prst="rect">
          <a:avLst/>
        </a:prstGeom>
      </xdr:spPr>
    </xdr:pic>
    <xdr:clientData/>
  </xdr:twoCellAnchor>
  <xdr:twoCellAnchor editAs="oneCell">
    <xdr:from>
      <xdr:col>11</xdr:col>
      <xdr:colOff>0</xdr:colOff>
      <xdr:row>95</xdr:row>
      <xdr:rowOff>0</xdr:rowOff>
    </xdr:from>
    <xdr:to>
      <xdr:col>16</xdr:col>
      <xdr:colOff>723333</xdr:colOff>
      <xdr:row>95</xdr:row>
      <xdr:rowOff>171429</xdr:rowOff>
    </xdr:to>
    <xdr:pic>
      <xdr:nvPicPr>
        <xdr:cNvPr id="5" name="Imagen 4">
          <a:extLst>
            <a:ext uri="{FF2B5EF4-FFF2-40B4-BE49-F238E27FC236}">
              <a16:creationId xmlns="" xmlns:a16="http://schemas.microsoft.com/office/drawing/2014/main" id="{00000000-0008-0000-0A00-000005000000}"/>
            </a:ext>
          </a:extLst>
        </xdr:cNvPr>
        <xdr:cNvPicPr>
          <a:picLocks noChangeAspect="1"/>
        </xdr:cNvPicPr>
      </xdr:nvPicPr>
      <xdr:blipFill>
        <a:blip xmlns:r="http://schemas.openxmlformats.org/officeDocument/2006/relationships" r:embed="rId4" cstate="print"/>
        <a:stretch>
          <a:fillRect/>
        </a:stretch>
      </xdr:blipFill>
      <xdr:spPr>
        <a:xfrm>
          <a:off x="8382000" y="18097500"/>
          <a:ext cx="4533333" cy="171429"/>
        </a:xfrm>
        <a:prstGeom prst="rect">
          <a:avLst/>
        </a:prstGeom>
      </xdr:spPr>
    </xdr:pic>
    <xdr:clientData/>
  </xdr:twoCellAnchor>
  <xdr:twoCellAnchor editAs="oneCell">
    <xdr:from>
      <xdr:col>7</xdr:col>
      <xdr:colOff>267611</xdr:colOff>
      <xdr:row>113</xdr:row>
      <xdr:rowOff>171451</xdr:rowOff>
    </xdr:from>
    <xdr:to>
      <xdr:col>10</xdr:col>
      <xdr:colOff>417864</xdr:colOff>
      <xdr:row>118</xdr:row>
      <xdr:rowOff>95250</xdr:rowOff>
    </xdr:to>
    <xdr:pic>
      <xdr:nvPicPr>
        <xdr:cNvPr id="6" name="Imagen 5">
          <a:extLst>
            <a:ext uri="{FF2B5EF4-FFF2-40B4-BE49-F238E27FC236}">
              <a16:creationId xmlns="" xmlns:a16="http://schemas.microsoft.com/office/drawing/2014/main" id="{00000000-0008-0000-0A00-000006000000}"/>
            </a:ext>
          </a:extLst>
        </xdr:cNvPr>
        <xdr:cNvPicPr>
          <a:picLocks noChangeAspect="1"/>
        </xdr:cNvPicPr>
      </xdr:nvPicPr>
      <xdr:blipFill>
        <a:blip xmlns:r="http://schemas.openxmlformats.org/officeDocument/2006/relationships" r:embed="rId5" cstate="print"/>
        <a:stretch>
          <a:fillRect/>
        </a:stretch>
      </xdr:blipFill>
      <xdr:spPr>
        <a:xfrm>
          <a:off x="5744486" y="21697951"/>
          <a:ext cx="2436253" cy="876299"/>
        </a:xfrm>
        <a:prstGeom prst="rect">
          <a:avLst/>
        </a:prstGeom>
      </xdr:spPr>
    </xdr:pic>
    <xdr:clientData/>
  </xdr:twoCellAnchor>
  <xdr:twoCellAnchor editAs="oneCell">
    <xdr:from>
      <xdr:col>10</xdr:col>
      <xdr:colOff>723900</xdr:colOff>
      <xdr:row>113</xdr:row>
      <xdr:rowOff>123826</xdr:rowOff>
    </xdr:from>
    <xdr:to>
      <xdr:col>16</xdr:col>
      <xdr:colOff>8959</xdr:colOff>
      <xdr:row>124</xdr:row>
      <xdr:rowOff>50238</xdr:rowOff>
    </xdr:to>
    <xdr:pic>
      <xdr:nvPicPr>
        <xdr:cNvPr id="7" name="Imagen 6">
          <a:extLst>
            <a:ext uri="{FF2B5EF4-FFF2-40B4-BE49-F238E27FC236}">
              <a16:creationId xmlns="" xmlns:a16="http://schemas.microsoft.com/office/drawing/2014/main" id="{00000000-0008-0000-0A00-000007000000}"/>
            </a:ext>
          </a:extLst>
        </xdr:cNvPr>
        <xdr:cNvPicPr>
          <a:picLocks noChangeAspect="1"/>
        </xdr:cNvPicPr>
      </xdr:nvPicPr>
      <xdr:blipFill>
        <a:blip xmlns:r="http://schemas.openxmlformats.org/officeDocument/2006/relationships" r:embed="rId6" cstate="print"/>
        <a:stretch>
          <a:fillRect/>
        </a:stretch>
      </xdr:blipFill>
      <xdr:spPr>
        <a:xfrm>
          <a:off x="8486775" y="21650326"/>
          <a:ext cx="3857059" cy="2021912"/>
        </a:xfrm>
        <a:prstGeom prst="rect">
          <a:avLst/>
        </a:prstGeom>
      </xdr:spPr>
    </xdr:pic>
    <xdr:clientData/>
  </xdr:twoCellAnchor>
  <xdr:twoCellAnchor>
    <xdr:from>
      <xdr:col>11</xdr:col>
      <xdr:colOff>57150</xdr:colOff>
      <xdr:row>122</xdr:row>
      <xdr:rowOff>104775</xdr:rowOff>
    </xdr:from>
    <xdr:to>
      <xdr:col>16</xdr:col>
      <xdr:colOff>28575</xdr:colOff>
      <xdr:row>124</xdr:row>
      <xdr:rowOff>19050</xdr:rowOff>
    </xdr:to>
    <xdr:sp macro="" textlink="">
      <xdr:nvSpPr>
        <xdr:cNvPr id="8" name="Rectángulo 7">
          <a:extLst>
            <a:ext uri="{FF2B5EF4-FFF2-40B4-BE49-F238E27FC236}">
              <a16:creationId xmlns="" xmlns:a16="http://schemas.microsoft.com/office/drawing/2014/main" id="{00000000-0008-0000-0A00-000008000000}"/>
            </a:ext>
          </a:extLst>
        </xdr:cNvPr>
        <xdr:cNvSpPr/>
      </xdr:nvSpPr>
      <xdr:spPr>
        <a:xfrm>
          <a:off x="8582025" y="23345775"/>
          <a:ext cx="3781425" cy="295275"/>
        </a:xfrm>
        <a:prstGeom prst="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10</xdr:col>
      <xdr:colOff>545635</xdr:colOff>
      <xdr:row>124</xdr:row>
      <xdr:rowOff>85725</xdr:rowOff>
    </xdr:from>
    <xdr:to>
      <xdr:col>14</xdr:col>
      <xdr:colOff>447071</xdr:colOff>
      <xdr:row>139</xdr:row>
      <xdr:rowOff>8956</xdr:rowOff>
    </xdr:to>
    <xdr:pic>
      <xdr:nvPicPr>
        <xdr:cNvPr id="9" name="Imagen 8">
          <a:extLst>
            <a:ext uri="{FF2B5EF4-FFF2-40B4-BE49-F238E27FC236}">
              <a16:creationId xmlns="" xmlns:a16="http://schemas.microsoft.com/office/drawing/2014/main" id="{00000000-0008-0000-0A00-000009000000}"/>
            </a:ext>
          </a:extLst>
        </xdr:cNvPr>
        <xdr:cNvPicPr>
          <a:picLocks noChangeAspect="1"/>
        </xdr:cNvPicPr>
      </xdr:nvPicPr>
      <xdr:blipFill>
        <a:blip xmlns:r="http://schemas.openxmlformats.org/officeDocument/2006/relationships" r:embed="rId7" cstate="print"/>
        <a:stretch>
          <a:fillRect/>
        </a:stretch>
      </xdr:blipFill>
      <xdr:spPr>
        <a:xfrm>
          <a:off x="8622835" y="23707725"/>
          <a:ext cx="2949436" cy="2780731"/>
        </a:xfrm>
        <a:prstGeom prst="rect">
          <a:avLst/>
        </a:prstGeom>
      </xdr:spPr>
    </xdr:pic>
    <xdr:clientData/>
  </xdr:twoCellAnchor>
  <xdr:twoCellAnchor editAs="oneCell">
    <xdr:from>
      <xdr:col>1</xdr:col>
      <xdr:colOff>0</xdr:colOff>
      <xdr:row>132</xdr:row>
      <xdr:rowOff>0</xdr:rowOff>
    </xdr:from>
    <xdr:to>
      <xdr:col>6</xdr:col>
      <xdr:colOff>389943</xdr:colOff>
      <xdr:row>133</xdr:row>
      <xdr:rowOff>171405</xdr:rowOff>
    </xdr:to>
    <xdr:pic>
      <xdr:nvPicPr>
        <xdr:cNvPr id="10" name="Imagen 9">
          <a:extLst>
            <a:ext uri="{FF2B5EF4-FFF2-40B4-BE49-F238E27FC236}">
              <a16:creationId xmlns="" xmlns:a16="http://schemas.microsoft.com/office/drawing/2014/main" id="{00000000-0008-0000-0A00-00000A000000}"/>
            </a:ext>
          </a:extLst>
        </xdr:cNvPr>
        <xdr:cNvPicPr>
          <a:picLocks noChangeAspect="1"/>
        </xdr:cNvPicPr>
      </xdr:nvPicPr>
      <xdr:blipFill>
        <a:blip xmlns:r="http://schemas.openxmlformats.org/officeDocument/2006/relationships" r:embed="rId8" cstate="print"/>
        <a:stretch>
          <a:fillRect/>
        </a:stretch>
      </xdr:blipFill>
      <xdr:spPr>
        <a:xfrm>
          <a:off x="762000" y="25146000"/>
          <a:ext cx="4657143" cy="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2039814</xdr:colOff>
      <xdr:row>4</xdr:row>
      <xdr:rowOff>14077</xdr:rowOff>
    </xdr:from>
    <xdr:to>
      <xdr:col>7</xdr:col>
      <xdr:colOff>76200</xdr:colOff>
      <xdr:row>6</xdr:row>
      <xdr:rowOff>109651</xdr:rowOff>
    </xdr:to>
    <xdr:pic>
      <xdr:nvPicPr>
        <xdr:cNvPr id="2" name="Imagen 1">
          <a:extLst>
            <a:ext uri="{FF2B5EF4-FFF2-40B4-BE49-F238E27FC236}">
              <a16:creationId xmlns="" xmlns:a16="http://schemas.microsoft.com/office/drawing/2014/main" id="{DCC8E8AC-67BC-4612-A517-D6CBADF83CDD}"/>
            </a:ext>
          </a:extLst>
        </xdr:cNvPr>
        <xdr:cNvPicPr>
          <a:picLocks noChangeAspect="1"/>
        </xdr:cNvPicPr>
      </xdr:nvPicPr>
      <xdr:blipFill>
        <a:blip xmlns:r="http://schemas.openxmlformats.org/officeDocument/2006/relationships" r:embed="rId1" cstate="print"/>
        <a:stretch>
          <a:fillRect/>
        </a:stretch>
      </xdr:blipFill>
      <xdr:spPr>
        <a:xfrm>
          <a:off x="8528720" y="847515"/>
          <a:ext cx="2108324" cy="500386"/>
        </a:xfrm>
        <a:prstGeom prst="rect">
          <a:avLst/>
        </a:prstGeom>
      </xdr:spPr>
    </xdr:pic>
    <xdr:clientData/>
  </xdr:twoCellAnchor>
  <xdr:twoCellAnchor editAs="oneCell">
    <xdr:from>
      <xdr:col>3</xdr:col>
      <xdr:colOff>98795</xdr:colOff>
      <xdr:row>3</xdr:row>
      <xdr:rowOff>71776</xdr:rowOff>
    </xdr:from>
    <xdr:to>
      <xdr:col>5</xdr:col>
      <xdr:colOff>1732054</xdr:colOff>
      <xdr:row>7</xdr:row>
      <xdr:rowOff>55902</xdr:rowOff>
    </xdr:to>
    <xdr:pic>
      <xdr:nvPicPr>
        <xdr:cNvPr id="3" name="Imagen 2">
          <a:extLst>
            <a:ext uri="{FF2B5EF4-FFF2-40B4-BE49-F238E27FC236}">
              <a16:creationId xmlns="" xmlns:a16="http://schemas.microsoft.com/office/drawing/2014/main" id="{FE3E51EF-4E99-4791-B644-1C57DBAE7A3F}"/>
            </a:ext>
          </a:extLst>
        </xdr:cNvPr>
        <xdr:cNvPicPr>
          <a:picLocks noChangeAspect="1"/>
        </xdr:cNvPicPr>
      </xdr:nvPicPr>
      <xdr:blipFill rotWithShape="1">
        <a:blip xmlns:r="http://schemas.openxmlformats.org/officeDocument/2006/relationships" r:embed="rId2" cstate="print"/>
        <a:srcRect l="6128" t="27010" r="8244" b="12797"/>
        <a:stretch/>
      </xdr:blipFill>
      <xdr:spPr>
        <a:xfrm>
          <a:off x="3849264" y="714714"/>
          <a:ext cx="4371696" cy="7937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892051</xdr:colOff>
      <xdr:row>4</xdr:row>
      <xdr:rowOff>10017</xdr:rowOff>
    </xdr:from>
    <xdr:to>
      <xdr:col>5</xdr:col>
      <xdr:colOff>248508</xdr:colOff>
      <xdr:row>7</xdr:row>
      <xdr:rowOff>45357</xdr:rowOff>
    </xdr:to>
    <xdr:pic>
      <xdr:nvPicPr>
        <xdr:cNvPr id="2" name="Imagen 1">
          <a:extLst>
            <a:ext uri="{FF2B5EF4-FFF2-40B4-BE49-F238E27FC236}">
              <a16:creationId xmlns="" xmlns:a16="http://schemas.microsoft.com/office/drawing/2014/main" id="{0AE0C3EC-45F9-4B0D-9C15-BC92088F8D6B}"/>
            </a:ext>
          </a:extLst>
        </xdr:cNvPr>
        <xdr:cNvPicPr>
          <a:picLocks noChangeAspect="1"/>
        </xdr:cNvPicPr>
      </xdr:nvPicPr>
      <xdr:blipFill>
        <a:blip xmlns:r="http://schemas.openxmlformats.org/officeDocument/2006/relationships" r:embed="rId1" cstate="print"/>
        <a:stretch>
          <a:fillRect/>
        </a:stretch>
      </xdr:blipFill>
      <xdr:spPr>
        <a:xfrm>
          <a:off x="4644901" y="848217"/>
          <a:ext cx="2556857" cy="606840"/>
        </a:xfrm>
        <a:prstGeom prst="rect">
          <a:avLst/>
        </a:prstGeom>
      </xdr:spPr>
    </xdr:pic>
    <xdr:clientData/>
  </xdr:twoCellAnchor>
  <xdr:twoCellAnchor editAs="oneCell">
    <xdr:from>
      <xdr:col>5</xdr:col>
      <xdr:colOff>684584</xdr:colOff>
      <xdr:row>3</xdr:row>
      <xdr:rowOff>136070</xdr:rowOff>
    </xdr:from>
    <xdr:to>
      <xdr:col>7</xdr:col>
      <xdr:colOff>396174</xdr:colOff>
      <xdr:row>7</xdr:row>
      <xdr:rowOff>167821</xdr:rowOff>
    </xdr:to>
    <xdr:pic>
      <xdr:nvPicPr>
        <xdr:cNvPr id="3" name="Imagen 2">
          <a:extLst>
            <a:ext uri="{FF2B5EF4-FFF2-40B4-BE49-F238E27FC236}">
              <a16:creationId xmlns="" xmlns:a16="http://schemas.microsoft.com/office/drawing/2014/main" id="{03EDFD2C-7ADC-4CBF-9D9E-219637036CA4}"/>
            </a:ext>
          </a:extLst>
        </xdr:cNvPr>
        <xdr:cNvPicPr>
          <a:picLocks noChangeAspect="1"/>
        </xdr:cNvPicPr>
      </xdr:nvPicPr>
      <xdr:blipFill rotWithShape="1">
        <a:blip xmlns:r="http://schemas.openxmlformats.org/officeDocument/2006/relationships" r:embed="rId2" cstate="print"/>
        <a:srcRect l="6128" t="27010" r="8244" b="12797"/>
        <a:stretch/>
      </xdr:blipFill>
      <xdr:spPr>
        <a:xfrm>
          <a:off x="7656884" y="783770"/>
          <a:ext cx="4378840" cy="793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892051</xdr:colOff>
      <xdr:row>4</xdr:row>
      <xdr:rowOff>10017</xdr:rowOff>
    </xdr:from>
    <xdr:to>
      <xdr:col>5</xdr:col>
      <xdr:colOff>229458</xdr:colOff>
      <xdr:row>7</xdr:row>
      <xdr:rowOff>45357</xdr:rowOff>
    </xdr:to>
    <xdr:pic>
      <xdr:nvPicPr>
        <xdr:cNvPr id="2" name="Imagen 1">
          <a:extLst>
            <a:ext uri="{FF2B5EF4-FFF2-40B4-BE49-F238E27FC236}">
              <a16:creationId xmlns="" xmlns:a16="http://schemas.microsoft.com/office/drawing/2014/main" id="{102CB706-1607-4209-99DE-EEC935CBE546}"/>
            </a:ext>
          </a:extLst>
        </xdr:cNvPr>
        <xdr:cNvPicPr>
          <a:picLocks noChangeAspect="1"/>
        </xdr:cNvPicPr>
      </xdr:nvPicPr>
      <xdr:blipFill>
        <a:blip xmlns:r="http://schemas.openxmlformats.org/officeDocument/2006/relationships" r:embed="rId1" cstate="print"/>
        <a:stretch>
          <a:fillRect/>
        </a:stretch>
      </xdr:blipFill>
      <xdr:spPr>
        <a:xfrm>
          <a:off x="4644901" y="848217"/>
          <a:ext cx="2556857" cy="606840"/>
        </a:xfrm>
        <a:prstGeom prst="rect">
          <a:avLst/>
        </a:prstGeom>
      </xdr:spPr>
    </xdr:pic>
    <xdr:clientData/>
  </xdr:twoCellAnchor>
  <xdr:twoCellAnchor editAs="oneCell">
    <xdr:from>
      <xdr:col>5</xdr:col>
      <xdr:colOff>684584</xdr:colOff>
      <xdr:row>3</xdr:row>
      <xdr:rowOff>136070</xdr:rowOff>
    </xdr:from>
    <xdr:to>
      <xdr:col>7</xdr:col>
      <xdr:colOff>396174</xdr:colOff>
      <xdr:row>7</xdr:row>
      <xdr:rowOff>167821</xdr:rowOff>
    </xdr:to>
    <xdr:pic>
      <xdr:nvPicPr>
        <xdr:cNvPr id="3" name="Imagen 2">
          <a:extLst>
            <a:ext uri="{FF2B5EF4-FFF2-40B4-BE49-F238E27FC236}">
              <a16:creationId xmlns="" xmlns:a16="http://schemas.microsoft.com/office/drawing/2014/main" id="{EE9F470E-E91A-4620-BD31-29221B51545B}"/>
            </a:ext>
          </a:extLst>
        </xdr:cNvPr>
        <xdr:cNvPicPr>
          <a:picLocks noChangeAspect="1"/>
        </xdr:cNvPicPr>
      </xdr:nvPicPr>
      <xdr:blipFill rotWithShape="1">
        <a:blip xmlns:r="http://schemas.openxmlformats.org/officeDocument/2006/relationships" r:embed="rId2" cstate="print"/>
        <a:srcRect l="6128" t="27010" r="8244" b="12797"/>
        <a:stretch/>
      </xdr:blipFill>
      <xdr:spPr>
        <a:xfrm>
          <a:off x="7656884" y="783770"/>
          <a:ext cx="4378840" cy="793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892051</xdr:colOff>
      <xdr:row>4</xdr:row>
      <xdr:rowOff>10017</xdr:rowOff>
    </xdr:from>
    <xdr:to>
      <xdr:col>5</xdr:col>
      <xdr:colOff>200883</xdr:colOff>
      <xdr:row>7</xdr:row>
      <xdr:rowOff>45357</xdr:rowOff>
    </xdr:to>
    <xdr:pic>
      <xdr:nvPicPr>
        <xdr:cNvPr id="2" name="Imagen 1">
          <a:extLst>
            <a:ext uri="{FF2B5EF4-FFF2-40B4-BE49-F238E27FC236}">
              <a16:creationId xmlns="" xmlns:a16="http://schemas.microsoft.com/office/drawing/2014/main" id="{D450766C-C6CD-4D88-A816-126ED8A7607C}"/>
            </a:ext>
          </a:extLst>
        </xdr:cNvPr>
        <xdr:cNvPicPr>
          <a:picLocks noChangeAspect="1"/>
        </xdr:cNvPicPr>
      </xdr:nvPicPr>
      <xdr:blipFill>
        <a:blip xmlns:r="http://schemas.openxmlformats.org/officeDocument/2006/relationships" r:embed="rId1" cstate="print"/>
        <a:stretch>
          <a:fillRect/>
        </a:stretch>
      </xdr:blipFill>
      <xdr:spPr>
        <a:xfrm>
          <a:off x="4644901" y="848217"/>
          <a:ext cx="2556857" cy="606840"/>
        </a:xfrm>
        <a:prstGeom prst="rect">
          <a:avLst/>
        </a:prstGeom>
      </xdr:spPr>
    </xdr:pic>
    <xdr:clientData/>
  </xdr:twoCellAnchor>
  <xdr:twoCellAnchor editAs="oneCell">
    <xdr:from>
      <xdr:col>5</xdr:col>
      <xdr:colOff>684584</xdr:colOff>
      <xdr:row>3</xdr:row>
      <xdr:rowOff>136070</xdr:rowOff>
    </xdr:from>
    <xdr:to>
      <xdr:col>8</xdr:col>
      <xdr:colOff>34224</xdr:colOff>
      <xdr:row>7</xdr:row>
      <xdr:rowOff>167821</xdr:rowOff>
    </xdr:to>
    <xdr:pic>
      <xdr:nvPicPr>
        <xdr:cNvPr id="3" name="Imagen 2">
          <a:extLst>
            <a:ext uri="{FF2B5EF4-FFF2-40B4-BE49-F238E27FC236}">
              <a16:creationId xmlns="" xmlns:a16="http://schemas.microsoft.com/office/drawing/2014/main" id="{E05F856F-E12F-4909-95B0-9699B57FF53A}"/>
            </a:ext>
          </a:extLst>
        </xdr:cNvPr>
        <xdr:cNvPicPr>
          <a:picLocks noChangeAspect="1"/>
        </xdr:cNvPicPr>
      </xdr:nvPicPr>
      <xdr:blipFill rotWithShape="1">
        <a:blip xmlns:r="http://schemas.openxmlformats.org/officeDocument/2006/relationships" r:embed="rId2" cstate="print"/>
        <a:srcRect l="6128" t="27010" r="8244" b="12797"/>
        <a:stretch/>
      </xdr:blipFill>
      <xdr:spPr>
        <a:xfrm>
          <a:off x="7656884" y="783770"/>
          <a:ext cx="4378840" cy="7937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466726</xdr:colOff>
      <xdr:row>29</xdr:row>
      <xdr:rowOff>152401</xdr:rowOff>
    </xdr:from>
    <xdr:to>
      <xdr:col>8</xdr:col>
      <xdr:colOff>938770</xdr:colOff>
      <xdr:row>31</xdr:row>
      <xdr:rowOff>15257</xdr:rowOff>
    </xdr:to>
    <xdr:pic>
      <xdr:nvPicPr>
        <xdr:cNvPr id="2" name="Imagen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1181101" y="6600826"/>
          <a:ext cx="5929869" cy="243856"/>
        </a:xfrm>
        <a:prstGeom prst="rect">
          <a:avLst/>
        </a:prstGeom>
      </xdr:spPr>
    </xdr:pic>
    <xdr:clientData/>
  </xdr:twoCellAnchor>
  <xdr:twoCellAnchor editAs="oneCell">
    <xdr:from>
      <xdr:col>1</xdr:col>
      <xdr:colOff>476250</xdr:colOff>
      <xdr:row>31</xdr:row>
      <xdr:rowOff>142876</xdr:rowOff>
    </xdr:from>
    <xdr:to>
      <xdr:col>9</xdr:col>
      <xdr:colOff>102424</xdr:colOff>
      <xdr:row>37</xdr:row>
      <xdr:rowOff>119830</xdr:rowOff>
    </xdr:to>
    <xdr:pic>
      <xdr:nvPicPr>
        <xdr:cNvPr id="3" name="Imagen 2">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tretch>
          <a:fillRect/>
        </a:stretch>
      </xdr:blipFill>
      <xdr:spPr>
        <a:xfrm>
          <a:off x="1190625" y="6972301"/>
          <a:ext cx="6103174" cy="1119954"/>
        </a:xfrm>
        <a:prstGeom prst="rect">
          <a:avLst/>
        </a:prstGeom>
      </xdr:spPr>
    </xdr:pic>
    <xdr:clientData/>
  </xdr:twoCellAnchor>
  <xdr:twoCellAnchor editAs="oneCell">
    <xdr:from>
      <xdr:col>2</xdr:col>
      <xdr:colOff>51954</xdr:colOff>
      <xdr:row>37</xdr:row>
      <xdr:rowOff>129887</xdr:rowOff>
    </xdr:from>
    <xdr:to>
      <xdr:col>9</xdr:col>
      <xdr:colOff>117421</xdr:colOff>
      <xdr:row>40</xdr:row>
      <xdr:rowOff>182705</xdr:rowOff>
    </xdr:to>
    <xdr:pic>
      <xdr:nvPicPr>
        <xdr:cNvPr id="4" name="Imagen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stretch>
          <a:fillRect/>
        </a:stretch>
      </xdr:blipFill>
      <xdr:spPr>
        <a:xfrm>
          <a:off x="1212272" y="7394864"/>
          <a:ext cx="6072898" cy="623453"/>
        </a:xfrm>
        <a:prstGeom prst="rect">
          <a:avLst/>
        </a:prstGeom>
      </xdr:spPr>
    </xdr:pic>
    <xdr:clientData/>
  </xdr:twoCellAnchor>
  <xdr:twoCellAnchor editAs="oneCell">
    <xdr:from>
      <xdr:col>2</xdr:col>
      <xdr:colOff>0</xdr:colOff>
      <xdr:row>41</xdr:row>
      <xdr:rowOff>121227</xdr:rowOff>
    </xdr:from>
    <xdr:to>
      <xdr:col>9</xdr:col>
      <xdr:colOff>192478</xdr:colOff>
      <xdr:row>45</xdr:row>
      <xdr:rowOff>80284</xdr:rowOff>
    </xdr:to>
    <xdr:pic>
      <xdr:nvPicPr>
        <xdr:cNvPr id="5" name="Imagen 4">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stretch>
          <a:fillRect/>
        </a:stretch>
      </xdr:blipFill>
      <xdr:spPr>
        <a:xfrm>
          <a:off x="1160318" y="8148204"/>
          <a:ext cx="6199909" cy="721057"/>
        </a:xfrm>
        <a:prstGeom prst="rect">
          <a:avLst/>
        </a:prstGeom>
      </xdr:spPr>
    </xdr:pic>
    <xdr:clientData/>
  </xdr:twoCellAnchor>
  <xdr:twoCellAnchor editAs="oneCell">
    <xdr:from>
      <xdr:col>2</xdr:col>
      <xdr:colOff>164522</xdr:colOff>
      <xdr:row>47</xdr:row>
      <xdr:rowOff>60614</xdr:rowOff>
    </xdr:from>
    <xdr:to>
      <xdr:col>8</xdr:col>
      <xdr:colOff>286245</xdr:colOff>
      <xdr:row>52</xdr:row>
      <xdr:rowOff>88483</xdr:rowOff>
    </xdr:to>
    <xdr:pic>
      <xdr:nvPicPr>
        <xdr:cNvPr id="6" name="Imagen 5">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5" cstate="print"/>
        <a:stretch>
          <a:fillRect/>
        </a:stretch>
      </xdr:blipFill>
      <xdr:spPr>
        <a:xfrm>
          <a:off x="1324840" y="9230591"/>
          <a:ext cx="5117523" cy="980368"/>
        </a:xfrm>
        <a:prstGeom prst="rect">
          <a:avLst/>
        </a:prstGeom>
      </xdr:spPr>
    </xdr:pic>
    <xdr:clientData/>
  </xdr:twoCellAnchor>
  <xdr:twoCellAnchor editAs="oneCell">
    <xdr:from>
      <xdr:col>1</xdr:col>
      <xdr:colOff>390525</xdr:colOff>
      <xdr:row>76</xdr:row>
      <xdr:rowOff>57150</xdr:rowOff>
    </xdr:from>
    <xdr:to>
      <xdr:col>12</xdr:col>
      <xdr:colOff>685748</xdr:colOff>
      <xdr:row>80</xdr:row>
      <xdr:rowOff>190389</xdr:rowOff>
    </xdr:to>
    <xdr:pic>
      <xdr:nvPicPr>
        <xdr:cNvPr id="7" name="Imagen 6">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6" cstate="print"/>
        <a:stretch>
          <a:fillRect/>
        </a:stretch>
      </xdr:blipFill>
      <xdr:spPr>
        <a:xfrm>
          <a:off x="1104900" y="15468600"/>
          <a:ext cx="9277298" cy="895239"/>
        </a:xfrm>
        <a:prstGeom prst="rect">
          <a:avLst/>
        </a:prstGeom>
      </xdr:spPr>
    </xdr:pic>
    <xdr:clientData/>
  </xdr:twoCellAnchor>
  <xdr:twoCellAnchor editAs="oneCell">
    <xdr:from>
      <xdr:col>17</xdr:col>
      <xdr:colOff>285750</xdr:colOff>
      <xdr:row>31</xdr:row>
      <xdr:rowOff>66675</xdr:rowOff>
    </xdr:from>
    <xdr:to>
      <xdr:col>23</xdr:col>
      <xdr:colOff>108544</xdr:colOff>
      <xdr:row>33</xdr:row>
      <xdr:rowOff>85674</xdr:rowOff>
    </xdr:to>
    <xdr:pic>
      <xdr:nvPicPr>
        <xdr:cNvPr id="8" name="Imagen 7">
          <a:extLst>
            <a:ext uri="{FF2B5EF4-FFF2-40B4-BE49-F238E27FC236}">
              <a16:creationId xmlns="" xmlns:a16="http://schemas.microsoft.com/office/drawing/2014/main" id="{00000000-0008-0000-0300-000008000000}"/>
            </a:ext>
          </a:extLst>
        </xdr:cNvPr>
        <xdr:cNvPicPr>
          <a:picLocks noChangeAspect="1"/>
        </xdr:cNvPicPr>
      </xdr:nvPicPr>
      <xdr:blipFill>
        <a:blip xmlns:r="http://schemas.openxmlformats.org/officeDocument/2006/relationships" r:embed="rId7" cstate="print"/>
        <a:stretch>
          <a:fillRect/>
        </a:stretch>
      </xdr:blipFill>
      <xdr:spPr>
        <a:xfrm>
          <a:off x="14354175" y="6705600"/>
          <a:ext cx="4470994" cy="399999"/>
        </a:xfrm>
        <a:prstGeom prst="rect">
          <a:avLst/>
        </a:prstGeom>
      </xdr:spPr>
    </xdr:pic>
    <xdr:clientData/>
  </xdr:twoCellAnchor>
  <xdr:twoCellAnchor editAs="oneCell">
    <xdr:from>
      <xdr:col>17</xdr:col>
      <xdr:colOff>333375</xdr:colOff>
      <xdr:row>34</xdr:row>
      <xdr:rowOff>38100</xdr:rowOff>
    </xdr:from>
    <xdr:to>
      <xdr:col>23</xdr:col>
      <xdr:colOff>127598</xdr:colOff>
      <xdr:row>36</xdr:row>
      <xdr:rowOff>133290</xdr:rowOff>
    </xdr:to>
    <xdr:pic>
      <xdr:nvPicPr>
        <xdr:cNvPr id="9" name="Imagen 8">
          <a:extLst>
            <a:ext uri="{FF2B5EF4-FFF2-40B4-BE49-F238E27FC236}">
              <a16:creationId xmlns="" xmlns:a16="http://schemas.microsoft.com/office/drawing/2014/main" id="{00000000-0008-0000-0300-000009000000}"/>
            </a:ext>
          </a:extLst>
        </xdr:cNvPr>
        <xdr:cNvPicPr>
          <a:picLocks noChangeAspect="1"/>
        </xdr:cNvPicPr>
      </xdr:nvPicPr>
      <xdr:blipFill>
        <a:blip xmlns:r="http://schemas.openxmlformats.org/officeDocument/2006/relationships" r:embed="rId8" cstate="print"/>
        <a:stretch>
          <a:fillRect/>
        </a:stretch>
      </xdr:blipFill>
      <xdr:spPr>
        <a:xfrm>
          <a:off x="14401800" y="7248525"/>
          <a:ext cx="4442423" cy="476190"/>
        </a:xfrm>
        <a:prstGeom prst="rect">
          <a:avLst/>
        </a:prstGeom>
      </xdr:spPr>
    </xdr:pic>
    <xdr:clientData/>
  </xdr:twoCellAnchor>
  <xdr:twoCellAnchor editAs="oneCell">
    <xdr:from>
      <xdr:col>17</xdr:col>
      <xdr:colOff>361950</xdr:colOff>
      <xdr:row>37</xdr:row>
      <xdr:rowOff>161925</xdr:rowOff>
    </xdr:from>
    <xdr:to>
      <xdr:col>22</xdr:col>
      <xdr:colOff>502716</xdr:colOff>
      <xdr:row>39</xdr:row>
      <xdr:rowOff>190500</xdr:rowOff>
    </xdr:to>
    <xdr:pic>
      <xdr:nvPicPr>
        <xdr:cNvPr id="10" name="Imagen 9">
          <a:extLst>
            <a:ext uri="{FF2B5EF4-FFF2-40B4-BE49-F238E27FC236}">
              <a16:creationId xmlns="" xmlns:a16="http://schemas.microsoft.com/office/drawing/2014/main" id="{00000000-0008-0000-0300-00000A000000}"/>
            </a:ext>
          </a:extLst>
        </xdr:cNvPr>
        <xdr:cNvPicPr>
          <a:picLocks noChangeAspect="1"/>
        </xdr:cNvPicPr>
      </xdr:nvPicPr>
      <xdr:blipFill>
        <a:blip xmlns:r="http://schemas.openxmlformats.org/officeDocument/2006/relationships" r:embed="rId9" cstate="print"/>
        <a:stretch>
          <a:fillRect/>
        </a:stretch>
      </xdr:blipFill>
      <xdr:spPr>
        <a:xfrm>
          <a:off x="14430375" y="8134350"/>
          <a:ext cx="4141266" cy="409575"/>
        </a:xfrm>
        <a:prstGeom prst="rect">
          <a:avLst/>
        </a:prstGeom>
      </xdr:spPr>
    </xdr:pic>
    <xdr:clientData/>
  </xdr:twoCellAnchor>
  <xdr:twoCellAnchor editAs="oneCell">
    <xdr:from>
      <xdr:col>17</xdr:col>
      <xdr:colOff>323850</xdr:colOff>
      <xdr:row>41</xdr:row>
      <xdr:rowOff>9525</xdr:rowOff>
    </xdr:from>
    <xdr:to>
      <xdr:col>23</xdr:col>
      <xdr:colOff>66126</xdr:colOff>
      <xdr:row>43</xdr:row>
      <xdr:rowOff>66620</xdr:rowOff>
    </xdr:to>
    <xdr:pic>
      <xdr:nvPicPr>
        <xdr:cNvPr id="11" name="Imagen 10">
          <a:extLst>
            <a:ext uri="{FF2B5EF4-FFF2-40B4-BE49-F238E27FC236}">
              <a16:creationId xmlns="" xmlns:a16="http://schemas.microsoft.com/office/drawing/2014/main" id="{00000000-0008-0000-0300-00000B000000}"/>
            </a:ext>
          </a:extLst>
        </xdr:cNvPr>
        <xdr:cNvPicPr>
          <a:picLocks noChangeAspect="1"/>
        </xdr:cNvPicPr>
      </xdr:nvPicPr>
      <xdr:blipFill>
        <a:blip xmlns:r="http://schemas.openxmlformats.org/officeDocument/2006/relationships" r:embed="rId10" cstate="print"/>
        <a:stretch>
          <a:fillRect/>
        </a:stretch>
      </xdr:blipFill>
      <xdr:spPr>
        <a:xfrm>
          <a:off x="14392275" y="8753475"/>
          <a:ext cx="4390476" cy="4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752475</xdr:colOff>
      <xdr:row>3</xdr:row>
      <xdr:rowOff>57150</xdr:rowOff>
    </xdr:from>
    <xdr:to>
      <xdr:col>16</xdr:col>
      <xdr:colOff>180446</xdr:colOff>
      <xdr:row>4</xdr:row>
      <xdr:rowOff>395</xdr:rowOff>
    </xdr:to>
    <xdr:pic>
      <xdr:nvPicPr>
        <xdr:cNvPr id="2" name="Imagen 1">
          <a:extLst>
            <a:ext uri="{FF2B5EF4-FFF2-40B4-BE49-F238E27FC236}">
              <a16:creationId xmlns=""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10134600" y="1009650"/>
          <a:ext cx="3999971" cy="126125"/>
        </a:xfrm>
        <a:prstGeom prst="rect">
          <a:avLst/>
        </a:prstGeom>
      </xdr:spPr>
    </xdr:pic>
    <xdr:clientData/>
  </xdr:twoCellAnchor>
  <xdr:twoCellAnchor editAs="oneCell">
    <xdr:from>
      <xdr:col>11</xdr:col>
      <xdr:colOff>28575</xdr:colOff>
      <xdr:row>3</xdr:row>
      <xdr:rowOff>171451</xdr:rowOff>
    </xdr:from>
    <xdr:to>
      <xdr:col>15</xdr:col>
      <xdr:colOff>636287</xdr:colOff>
      <xdr:row>5</xdr:row>
      <xdr:rowOff>55357</xdr:rowOff>
    </xdr:to>
    <xdr:pic>
      <xdr:nvPicPr>
        <xdr:cNvPr id="3" name="Imagen 2">
          <a:extLst>
            <a:ext uri="{FF2B5EF4-FFF2-40B4-BE49-F238E27FC236}">
              <a16:creationId xmlns="" xmlns:a16="http://schemas.microsoft.com/office/drawing/2014/main" id="{00000000-0008-0000-0500-000003000000}"/>
            </a:ext>
          </a:extLst>
        </xdr:cNvPr>
        <xdr:cNvPicPr>
          <a:picLocks noChangeAspect="1"/>
        </xdr:cNvPicPr>
      </xdr:nvPicPr>
      <xdr:blipFill rotWithShape="1">
        <a:blip xmlns:r="http://schemas.openxmlformats.org/officeDocument/2006/relationships" r:embed="rId2" cstate="print"/>
        <a:srcRect r="10369" b="7378"/>
        <a:stretch/>
      </xdr:blipFill>
      <xdr:spPr>
        <a:xfrm>
          <a:off x="10172700" y="1123951"/>
          <a:ext cx="3655712" cy="264906"/>
        </a:xfrm>
        <a:prstGeom prst="rect">
          <a:avLst/>
        </a:prstGeom>
      </xdr:spPr>
    </xdr:pic>
    <xdr:clientData/>
  </xdr:twoCellAnchor>
  <xdr:twoCellAnchor editAs="oneCell">
    <xdr:from>
      <xdr:col>10</xdr:col>
      <xdr:colOff>723900</xdr:colOff>
      <xdr:row>6</xdr:row>
      <xdr:rowOff>66675</xdr:rowOff>
    </xdr:from>
    <xdr:to>
      <xdr:col>16</xdr:col>
      <xdr:colOff>189995</xdr:colOff>
      <xdr:row>7</xdr:row>
      <xdr:rowOff>28556</xdr:rowOff>
    </xdr:to>
    <xdr:pic>
      <xdr:nvPicPr>
        <xdr:cNvPr id="4" name="Imagen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stretch>
          <a:fillRect/>
        </a:stretch>
      </xdr:blipFill>
      <xdr:spPr>
        <a:xfrm>
          <a:off x="10106025" y="1590675"/>
          <a:ext cx="4038095" cy="152381"/>
        </a:xfrm>
        <a:prstGeom prst="rect">
          <a:avLst/>
        </a:prstGeom>
      </xdr:spPr>
    </xdr:pic>
    <xdr:clientData/>
  </xdr:twoCellAnchor>
  <xdr:oneCellAnchor>
    <xdr:from>
      <xdr:col>10</xdr:col>
      <xdr:colOff>704850</xdr:colOff>
      <xdr:row>15</xdr:row>
      <xdr:rowOff>98613</xdr:rowOff>
    </xdr:from>
    <xdr:ext cx="3655712" cy="264906"/>
    <xdr:pic>
      <xdr:nvPicPr>
        <xdr:cNvPr id="5" name="Imagen 4">
          <a:extLst>
            <a:ext uri="{FF2B5EF4-FFF2-40B4-BE49-F238E27FC236}">
              <a16:creationId xmlns="" xmlns:a16="http://schemas.microsoft.com/office/drawing/2014/main" id="{00000000-0008-0000-0500-000005000000}"/>
            </a:ext>
          </a:extLst>
        </xdr:cNvPr>
        <xdr:cNvPicPr>
          <a:picLocks noChangeAspect="1"/>
        </xdr:cNvPicPr>
      </xdr:nvPicPr>
      <xdr:blipFill rotWithShape="1">
        <a:blip xmlns:r="http://schemas.openxmlformats.org/officeDocument/2006/relationships" r:embed="rId2" cstate="print"/>
        <a:srcRect r="10369" b="7378"/>
        <a:stretch/>
      </xdr:blipFill>
      <xdr:spPr>
        <a:xfrm>
          <a:off x="10086975" y="3337113"/>
          <a:ext cx="3655712" cy="264906"/>
        </a:xfrm>
        <a:prstGeom prst="rect">
          <a:avLst/>
        </a:prstGeom>
      </xdr:spPr>
    </xdr:pic>
    <xdr:clientData/>
  </xdr:oneCellAnchor>
  <xdr:oneCellAnchor>
    <xdr:from>
      <xdr:col>11</xdr:col>
      <xdr:colOff>85725</xdr:colOff>
      <xdr:row>18</xdr:row>
      <xdr:rowOff>89087</xdr:rowOff>
    </xdr:from>
    <xdr:ext cx="4038095" cy="152381"/>
    <xdr:pic>
      <xdr:nvPicPr>
        <xdr:cNvPr id="6" name="Imagen 5">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3" cstate="print"/>
        <a:stretch>
          <a:fillRect/>
        </a:stretch>
      </xdr:blipFill>
      <xdr:spPr>
        <a:xfrm>
          <a:off x="10229850" y="3899087"/>
          <a:ext cx="4038095" cy="152381"/>
        </a:xfrm>
        <a:prstGeom prst="rect">
          <a:avLst/>
        </a:prstGeom>
      </xdr:spPr>
    </xdr:pic>
    <xdr:clientData/>
  </xdr:oneCellAnchor>
  <xdr:twoCellAnchor editAs="oneCell">
    <xdr:from>
      <xdr:col>11</xdr:col>
      <xdr:colOff>0</xdr:colOff>
      <xdr:row>15</xdr:row>
      <xdr:rowOff>28575</xdr:rowOff>
    </xdr:from>
    <xdr:to>
      <xdr:col>15</xdr:col>
      <xdr:colOff>600075</xdr:colOff>
      <xdr:row>15</xdr:row>
      <xdr:rowOff>127172</xdr:rowOff>
    </xdr:to>
    <xdr:pic>
      <xdr:nvPicPr>
        <xdr:cNvPr id="7" name="Imagen 6">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4" cstate="print"/>
        <a:stretch>
          <a:fillRect/>
        </a:stretch>
      </xdr:blipFill>
      <xdr:spPr>
        <a:xfrm>
          <a:off x="10144125" y="3267075"/>
          <a:ext cx="3648075" cy="98597"/>
        </a:xfrm>
        <a:prstGeom prst="rect">
          <a:avLst/>
        </a:prstGeom>
      </xdr:spPr>
    </xdr:pic>
    <xdr:clientData/>
  </xdr:twoCellAnchor>
  <xdr:oneCellAnchor>
    <xdr:from>
      <xdr:col>11</xdr:col>
      <xdr:colOff>114300</xdr:colOff>
      <xdr:row>34</xdr:row>
      <xdr:rowOff>76200</xdr:rowOff>
    </xdr:from>
    <xdr:ext cx="4038095" cy="152381"/>
    <xdr:pic>
      <xdr:nvPicPr>
        <xdr:cNvPr id="8" name="Imagen 7">
          <a:extLst>
            <a:ext uri="{FF2B5EF4-FFF2-40B4-BE49-F238E27FC236}">
              <a16:creationId xmlns="" xmlns:a16="http://schemas.microsoft.com/office/drawing/2014/main" id="{00000000-0008-0000-0500-000008000000}"/>
            </a:ext>
          </a:extLst>
        </xdr:cNvPr>
        <xdr:cNvPicPr>
          <a:picLocks noChangeAspect="1"/>
        </xdr:cNvPicPr>
      </xdr:nvPicPr>
      <xdr:blipFill>
        <a:blip xmlns:r="http://schemas.openxmlformats.org/officeDocument/2006/relationships" r:embed="rId3" cstate="print"/>
        <a:stretch>
          <a:fillRect/>
        </a:stretch>
      </xdr:blipFill>
      <xdr:spPr>
        <a:xfrm>
          <a:off x="10258425" y="6362700"/>
          <a:ext cx="4038095" cy="152381"/>
        </a:xfrm>
        <a:prstGeom prst="rect">
          <a:avLst/>
        </a:prstGeom>
      </xdr:spPr>
    </xdr:pic>
    <xdr:clientData/>
  </xdr:oneCellAnchor>
  <xdr:twoCellAnchor editAs="oneCell">
    <xdr:from>
      <xdr:col>11</xdr:col>
      <xdr:colOff>0</xdr:colOff>
      <xdr:row>30</xdr:row>
      <xdr:rowOff>0</xdr:rowOff>
    </xdr:from>
    <xdr:to>
      <xdr:col>16</xdr:col>
      <xdr:colOff>618571</xdr:colOff>
      <xdr:row>30</xdr:row>
      <xdr:rowOff>123810</xdr:rowOff>
    </xdr:to>
    <xdr:pic>
      <xdr:nvPicPr>
        <xdr:cNvPr id="10" name="Imagen 9">
          <a:extLst>
            <a:ext uri="{FF2B5EF4-FFF2-40B4-BE49-F238E27FC236}">
              <a16:creationId xmlns="" xmlns:a16="http://schemas.microsoft.com/office/drawing/2014/main" id="{00000000-0008-0000-0500-00000A000000}"/>
            </a:ext>
          </a:extLst>
        </xdr:cNvPr>
        <xdr:cNvPicPr>
          <a:picLocks noChangeAspect="1"/>
        </xdr:cNvPicPr>
      </xdr:nvPicPr>
      <xdr:blipFill>
        <a:blip xmlns:r="http://schemas.openxmlformats.org/officeDocument/2006/relationships" r:embed="rId5" cstate="print"/>
        <a:stretch>
          <a:fillRect/>
        </a:stretch>
      </xdr:blipFill>
      <xdr:spPr>
        <a:xfrm>
          <a:off x="10144125" y="5524500"/>
          <a:ext cx="4428571" cy="123810"/>
        </a:xfrm>
        <a:prstGeom prst="rect">
          <a:avLst/>
        </a:prstGeom>
      </xdr:spPr>
    </xdr:pic>
    <xdr:clientData/>
  </xdr:twoCellAnchor>
  <xdr:twoCellAnchor editAs="oneCell">
    <xdr:from>
      <xdr:col>10</xdr:col>
      <xdr:colOff>723900</xdr:colOff>
      <xdr:row>22</xdr:row>
      <xdr:rowOff>180592</xdr:rowOff>
    </xdr:from>
    <xdr:to>
      <xdr:col>22</xdr:col>
      <xdr:colOff>541680</xdr:colOff>
      <xdr:row>24</xdr:row>
      <xdr:rowOff>168001</xdr:rowOff>
    </xdr:to>
    <xdr:pic>
      <xdr:nvPicPr>
        <xdr:cNvPr id="11" name="Imagen 10">
          <a:extLst>
            <a:ext uri="{FF2B5EF4-FFF2-40B4-BE49-F238E27FC236}">
              <a16:creationId xmlns="" xmlns:a16="http://schemas.microsoft.com/office/drawing/2014/main" id="{00000000-0008-0000-0500-00000B000000}"/>
            </a:ext>
          </a:extLst>
        </xdr:cNvPr>
        <xdr:cNvPicPr>
          <a:picLocks noChangeAspect="1"/>
        </xdr:cNvPicPr>
      </xdr:nvPicPr>
      <xdr:blipFill>
        <a:blip xmlns:r="http://schemas.openxmlformats.org/officeDocument/2006/relationships" r:embed="rId6" cstate="print"/>
        <a:stretch>
          <a:fillRect/>
        </a:stretch>
      </xdr:blipFill>
      <xdr:spPr>
        <a:xfrm>
          <a:off x="10106025" y="4752592"/>
          <a:ext cx="8961780" cy="368409"/>
        </a:xfrm>
        <a:prstGeom prst="rect">
          <a:avLst/>
        </a:prstGeom>
      </xdr:spPr>
    </xdr:pic>
    <xdr:clientData/>
  </xdr:twoCellAnchor>
  <xdr:twoCellAnchor editAs="oneCell">
    <xdr:from>
      <xdr:col>10</xdr:col>
      <xdr:colOff>619125</xdr:colOff>
      <xdr:row>21</xdr:row>
      <xdr:rowOff>22781</xdr:rowOff>
    </xdr:from>
    <xdr:to>
      <xdr:col>17</xdr:col>
      <xdr:colOff>380307</xdr:colOff>
      <xdr:row>23</xdr:row>
      <xdr:rowOff>9475</xdr:rowOff>
    </xdr:to>
    <xdr:pic>
      <xdr:nvPicPr>
        <xdr:cNvPr id="12" name="Imagen 11">
          <a:extLst>
            <a:ext uri="{FF2B5EF4-FFF2-40B4-BE49-F238E27FC236}">
              <a16:creationId xmlns="" xmlns:a16="http://schemas.microsoft.com/office/drawing/2014/main" id="{00000000-0008-0000-0500-00000C000000}"/>
            </a:ext>
          </a:extLst>
        </xdr:cNvPr>
        <xdr:cNvPicPr>
          <a:picLocks noChangeAspect="1"/>
        </xdr:cNvPicPr>
      </xdr:nvPicPr>
      <xdr:blipFill>
        <a:blip xmlns:r="http://schemas.openxmlformats.org/officeDocument/2006/relationships" r:embed="rId7" cstate="print"/>
        <a:stretch>
          <a:fillRect/>
        </a:stretch>
      </xdr:blipFill>
      <xdr:spPr>
        <a:xfrm>
          <a:off x="10001250" y="4404281"/>
          <a:ext cx="5095182" cy="367694"/>
        </a:xfrm>
        <a:prstGeom prst="rect">
          <a:avLst/>
        </a:prstGeom>
      </xdr:spPr>
    </xdr:pic>
    <xdr:clientData/>
  </xdr:twoCellAnchor>
  <xdr:twoCellAnchor editAs="oneCell">
    <xdr:from>
      <xdr:col>11</xdr:col>
      <xdr:colOff>0</xdr:colOff>
      <xdr:row>31</xdr:row>
      <xdr:rowOff>0</xdr:rowOff>
    </xdr:from>
    <xdr:to>
      <xdr:col>17</xdr:col>
      <xdr:colOff>523182</xdr:colOff>
      <xdr:row>32</xdr:row>
      <xdr:rowOff>177194</xdr:rowOff>
    </xdr:to>
    <xdr:pic>
      <xdr:nvPicPr>
        <xdr:cNvPr id="13" name="Imagen 12">
          <a:extLst>
            <a:ext uri="{FF2B5EF4-FFF2-40B4-BE49-F238E27FC236}">
              <a16:creationId xmlns="" xmlns:a16="http://schemas.microsoft.com/office/drawing/2014/main" id="{00000000-0008-0000-0500-00000D000000}"/>
            </a:ext>
          </a:extLst>
        </xdr:cNvPr>
        <xdr:cNvPicPr>
          <a:picLocks noChangeAspect="1"/>
        </xdr:cNvPicPr>
      </xdr:nvPicPr>
      <xdr:blipFill>
        <a:blip xmlns:r="http://schemas.openxmlformats.org/officeDocument/2006/relationships" r:embed="rId7" cstate="print"/>
        <a:stretch>
          <a:fillRect/>
        </a:stretch>
      </xdr:blipFill>
      <xdr:spPr>
        <a:xfrm>
          <a:off x="10144125" y="5905500"/>
          <a:ext cx="5095182" cy="367694"/>
        </a:xfrm>
        <a:prstGeom prst="rect">
          <a:avLst/>
        </a:prstGeom>
      </xdr:spPr>
    </xdr:pic>
    <xdr:clientData/>
  </xdr:twoCellAnchor>
  <xdr:twoCellAnchor editAs="oneCell">
    <xdr:from>
      <xdr:col>11</xdr:col>
      <xdr:colOff>38100</xdr:colOff>
      <xdr:row>51</xdr:row>
      <xdr:rowOff>9525</xdr:rowOff>
    </xdr:from>
    <xdr:to>
      <xdr:col>16</xdr:col>
      <xdr:colOff>627967</xdr:colOff>
      <xdr:row>54</xdr:row>
      <xdr:rowOff>74242</xdr:rowOff>
    </xdr:to>
    <xdr:pic>
      <xdr:nvPicPr>
        <xdr:cNvPr id="14" name="Imagen 13">
          <a:extLst>
            <a:ext uri="{FF2B5EF4-FFF2-40B4-BE49-F238E27FC236}">
              <a16:creationId xmlns="" xmlns:a16="http://schemas.microsoft.com/office/drawing/2014/main" id="{00000000-0008-0000-0500-00000E000000}"/>
            </a:ext>
          </a:extLst>
        </xdr:cNvPr>
        <xdr:cNvPicPr>
          <a:picLocks noChangeAspect="1"/>
        </xdr:cNvPicPr>
      </xdr:nvPicPr>
      <xdr:blipFill>
        <a:blip xmlns:r="http://schemas.openxmlformats.org/officeDocument/2006/relationships" r:embed="rId8" cstate="print"/>
        <a:stretch>
          <a:fillRect/>
        </a:stretch>
      </xdr:blipFill>
      <xdr:spPr>
        <a:xfrm>
          <a:off x="10182225" y="9153525"/>
          <a:ext cx="4399867" cy="636217"/>
        </a:xfrm>
        <a:prstGeom prst="rect">
          <a:avLst/>
        </a:prstGeom>
      </xdr:spPr>
    </xdr:pic>
    <xdr:clientData/>
  </xdr:twoCellAnchor>
  <xdr:twoCellAnchor editAs="oneCell">
    <xdr:from>
      <xdr:col>10</xdr:col>
      <xdr:colOff>685800</xdr:colOff>
      <xdr:row>44</xdr:row>
      <xdr:rowOff>152401</xdr:rowOff>
    </xdr:from>
    <xdr:to>
      <xdr:col>16</xdr:col>
      <xdr:colOff>390524</xdr:colOff>
      <xdr:row>49</xdr:row>
      <xdr:rowOff>29885</xdr:rowOff>
    </xdr:to>
    <xdr:pic>
      <xdr:nvPicPr>
        <xdr:cNvPr id="1025" name="Picture 1">
          <a:extLst>
            <a:ext uri="{FF2B5EF4-FFF2-40B4-BE49-F238E27FC236}">
              <a16:creationId xmlns="" xmlns:a16="http://schemas.microsoft.com/office/drawing/2014/main" id="{00000000-0008-0000-0500-00000104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0067925" y="8153401"/>
          <a:ext cx="4276724" cy="829984"/>
        </a:xfrm>
        <a:prstGeom prst="rect">
          <a:avLst/>
        </a:prstGeom>
        <a:noFill/>
        <a:ln w="1">
          <a:noFill/>
          <a:miter lim="800000"/>
          <a:headEnd/>
          <a:tailEnd type="none" w="med" len="med"/>
        </a:ln>
        <a:effectLst/>
      </xdr:spPr>
    </xdr:pic>
    <xdr:clientData/>
  </xdr:twoCellAnchor>
  <xdr:twoCellAnchor editAs="oneCell">
    <xdr:from>
      <xdr:col>16</xdr:col>
      <xdr:colOff>390524</xdr:colOff>
      <xdr:row>45</xdr:row>
      <xdr:rowOff>1</xdr:rowOff>
    </xdr:from>
    <xdr:to>
      <xdr:col>22</xdr:col>
      <xdr:colOff>647699</xdr:colOff>
      <xdr:row>50</xdr:row>
      <xdr:rowOff>41350</xdr:rowOff>
    </xdr:to>
    <xdr:pic>
      <xdr:nvPicPr>
        <xdr:cNvPr id="1026" name="Picture 2">
          <a:extLst>
            <a:ext uri="{FF2B5EF4-FFF2-40B4-BE49-F238E27FC236}">
              <a16:creationId xmlns="" xmlns:a16="http://schemas.microsoft.com/office/drawing/2014/main" id="{00000000-0008-0000-0500-00000204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4344649" y="8191501"/>
          <a:ext cx="4829175" cy="993849"/>
        </a:xfrm>
        <a:prstGeom prst="rect">
          <a:avLst/>
        </a:prstGeom>
        <a:noFill/>
        <a:ln w="1">
          <a:noFill/>
          <a:miter lim="800000"/>
          <a:headEnd/>
          <a:tailEnd type="none" w="med" len="med"/>
        </a:ln>
        <a:effectLst/>
      </xdr:spPr>
    </xdr:pic>
    <xdr:clientData/>
  </xdr:twoCellAnchor>
  <xdr:twoCellAnchor editAs="oneCell">
    <xdr:from>
      <xdr:col>23</xdr:col>
      <xdr:colOff>0</xdr:colOff>
      <xdr:row>44</xdr:row>
      <xdr:rowOff>91478</xdr:rowOff>
    </xdr:from>
    <xdr:to>
      <xdr:col>35</xdr:col>
      <xdr:colOff>704850</xdr:colOff>
      <xdr:row>57</xdr:row>
      <xdr:rowOff>171449</xdr:rowOff>
    </xdr:to>
    <xdr:pic>
      <xdr:nvPicPr>
        <xdr:cNvPr id="1027" name="Picture 3">
          <a:extLst>
            <a:ext uri="{FF2B5EF4-FFF2-40B4-BE49-F238E27FC236}">
              <a16:creationId xmlns="" xmlns:a16="http://schemas.microsoft.com/office/drawing/2014/main" id="{00000000-0008-0000-0500-00000304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9288125" y="8092478"/>
          <a:ext cx="9848850" cy="2556471"/>
        </a:xfrm>
        <a:prstGeom prst="rect">
          <a:avLst/>
        </a:prstGeom>
        <a:noFill/>
        <a:ln w="1">
          <a:noFill/>
          <a:miter lim="800000"/>
          <a:headEnd/>
          <a:tailEnd type="none" w="med" len="med"/>
        </a:ln>
        <a:effectLst/>
      </xdr:spPr>
    </xdr:pic>
    <xdr:clientData/>
  </xdr:twoCellAnchor>
  <xdr:twoCellAnchor editAs="oneCell">
    <xdr:from>
      <xdr:col>17</xdr:col>
      <xdr:colOff>12018</xdr:colOff>
      <xdr:row>51</xdr:row>
      <xdr:rowOff>28575</xdr:rowOff>
    </xdr:from>
    <xdr:to>
      <xdr:col>27</xdr:col>
      <xdr:colOff>628650</xdr:colOff>
      <xdr:row>65</xdr:row>
      <xdr:rowOff>142875</xdr:rowOff>
    </xdr:to>
    <xdr:pic>
      <xdr:nvPicPr>
        <xdr:cNvPr id="1028" name="Picture 4">
          <a:extLst>
            <a:ext uri="{FF2B5EF4-FFF2-40B4-BE49-F238E27FC236}">
              <a16:creationId xmlns="" xmlns:a16="http://schemas.microsoft.com/office/drawing/2014/main" id="{00000000-0008-0000-0500-00000404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4728143" y="9363075"/>
          <a:ext cx="8236632" cy="2781300"/>
        </a:xfrm>
        <a:prstGeom prst="rect">
          <a:avLst/>
        </a:prstGeom>
        <a:noFill/>
        <a:ln w="1">
          <a:noFill/>
          <a:miter lim="800000"/>
          <a:headEnd/>
          <a:tailEnd type="none" w="med" len="med"/>
        </a:ln>
        <a:effectLst/>
      </xdr:spPr>
    </xdr:pic>
    <xdr:clientData/>
  </xdr:twoCellAnchor>
  <xdr:twoCellAnchor editAs="oneCell">
    <xdr:from>
      <xdr:col>11</xdr:col>
      <xdr:colOff>419100</xdr:colOff>
      <xdr:row>56</xdr:row>
      <xdr:rowOff>180975</xdr:rowOff>
    </xdr:from>
    <xdr:to>
      <xdr:col>25</xdr:col>
      <xdr:colOff>76200</xdr:colOff>
      <xdr:row>79</xdr:row>
      <xdr:rowOff>66675</xdr:rowOff>
    </xdr:to>
    <xdr:pic>
      <xdr:nvPicPr>
        <xdr:cNvPr id="1029" name="Picture 5">
          <a:extLst>
            <a:ext uri="{FF2B5EF4-FFF2-40B4-BE49-F238E27FC236}">
              <a16:creationId xmlns="" xmlns:a16="http://schemas.microsoft.com/office/drawing/2014/main" id="{00000000-0008-0000-0500-00000504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0182225" y="10658475"/>
          <a:ext cx="9658350" cy="4267200"/>
        </a:xfrm>
        <a:prstGeom prst="rect">
          <a:avLst/>
        </a:prstGeom>
        <a:noFill/>
        <a:ln w="1">
          <a:noFill/>
          <a:miter lim="800000"/>
          <a:headEnd/>
          <a:tailEnd type="none" w="med" len="med"/>
        </a:ln>
        <a:effectLst/>
      </xdr:spPr>
    </xdr:pic>
    <xdr:clientData/>
  </xdr:twoCellAnchor>
  <xdr:twoCellAnchor editAs="oneCell">
    <xdr:from>
      <xdr:col>11</xdr:col>
      <xdr:colOff>0</xdr:colOff>
      <xdr:row>9</xdr:row>
      <xdr:rowOff>0</xdr:rowOff>
    </xdr:from>
    <xdr:to>
      <xdr:col>17</xdr:col>
      <xdr:colOff>342321</xdr:colOff>
      <xdr:row>9</xdr:row>
      <xdr:rowOff>182856</xdr:rowOff>
    </xdr:to>
    <xdr:pic>
      <xdr:nvPicPr>
        <xdr:cNvPr id="9" name="Imagen 8">
          <a:extLst>
            <a:ext uri="{FF2B5EF4-FFF2-40B4-BE49-F238E27FC236}">
              <a16:creationId xmlns="" xmlns:a16="http://schemas.microsoft.com/office/drawing/2014/main" id="{00000000-0008-0000-0500-000009000000}"/>
            </a:ext>
          </a:extLst>
        </xdr:cNvPr>
        <xdr:cNvPicPr>
          <a:picLocks noChangeAspect="1"/>
        </xdr:cNvPicPr>
      </xdr:nvPicPr>
      <xdr:blipFill>
        <a:blip xmlns:r="http://schemas.openxmlformats.org/officeDocument/2006/relationships" r:embed="rId14" cstate="print"/>
        <a:stretch>
          <a:fillRect/>
        </a:stretch>
      </xdr:blipFill>
      <xdr:spPr>
        <a:xfrm>
          <a:off x="9763125" y="2095500"/>
          <a:ext cx="4628571" cy="1904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28574</xdr:colOff>
      <xdr:row>31</xdr:row>
      <xdr:rowOff>15832</xdr:rowOff>
    </xdr:from>
    <xdr:to>
      <xdr:col>9</xdr:col>
      <xdr:colOff>646324</xdr:colOff>
      <xdr:row>43</xdr:row>
      <xdr:rowOff>113829</xdr:rowOff>
    </xdr:to>
    <xdr:pic>
      <xdr:nvPicPr>
        <xdr:cNvPr id="2" name="Imagen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790574" y="4968832"/>
          <a:ext cx="6970925" cy="2383997"/>
        </a:xfrm>
        <a:prstGeom prst="rect">
          <a:avLst/>
        </a:prstGeom>
      </xdr:spPr>
    </xdr:pic>
    <xdr:clientData/>
  </xdr:twoCellAnchor>
  <xdr:twoCellAnchor editAs="oneCell">
    <xdr:from>
      <xdr:col>1</xdr:col>
      <xdr:colOff>0</xdr:colOff>
      <xdr:row>57</xdr:row>
      <xdr:rowOff>0</xdr:rowOff>
    </xdr:from>
    <xdr:to>
      <xdr:col>14</xdr:col>
      <xdr:colOff>598813</xdr:colOff>
      <xdr:row>76</xdr:row>
      <xdr:rowOff>123357</xdr:rowOff>
    </xdr:to>
    <xdr:pic>
      <xdr:nvPicPr>
        <xdr:cNvPr id="3" name="Imagen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stretch>
          <a:fillRect/>
        </a:stretch>
      </xdr:blipFill>
      <xdr:spPr>
        <a:xfrm>
          <a:off x="714375" y="9906000"/>
          <a:ext cx="10095238" cy="3742857"/>
        </a:xfrm>
        <a:prstGeom prst="rect">
          <a:avLst/>
        </a:prstGeom>
      </xdr:spPr>
    </xdr:pic>
    <xdr:clientData/>
  </xdr:twoCellAnchor>
  <xdr:twoCellAnchor editAs="oneCell">
    <xdr:from>
      <xdr:col>1</xdr:col>
      <xdr:colOff>28575</xdr:colOff>
      <xdr:row>76</xdr:row>
      <xdr:rowOff>171450</xdr:rowOff>
    </xdr:from>
    <xdr:to>
      <xdr:col>14</xdr:col>
      <xdr:colOff>322626</xdr:colOff>
      <xdr:row>89</xdr:row>
      <xdr:rowOff>94950</xdr:rowOff>
    </xdr:to>
    <xdr:pic>
      <xdr:nvPicPr>
        <xdr:cNvPr id="4" name="Imagen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742950" y="13696950"/>
          <a:ext cx="9790476" cy="2400000"/>
        </a:xfrm>
        <a:prstGeom prst="rect">
          <a:avLst/>
        </a:prstGeom>
      </xdr:spPr>
    </xdr:pic>
    <xdr:clientData/>
  </xdr:twoCellAnchor>
  <xdr:twoCellAnchor editAs="oneCell">
    <xdr:from>
      <xdr:col>7</xdr:col>
      <xdr:colOff>600075</xdr:colOff>
      <xdr:row>93</xdr:row>
      <xdr:rowOff>161925</xdr:rowOff>
    </xdr:from>
    <xdr:to>
      <xdr:col>14</xdr:col>
      <xdr:colOff>113736</xdr:colOff>
      <xdr:row>96</xdr:row>
      <xdr:rowOff>76139</xdr:rowOff>
    </xdr:to>
    <xdr:pic>
      <xdr:nvPicPr>
        <xdr:cNvPr id="5" name="Imagen 4">
          <a:extLst>
            <a:ext uri="{FF2B5EF4-FFF2-40B4-BE49-F238E27FC236}">
              <a16:creationId xmlns="" xmlns:a16="http://schemas.microsoft.com/office/drawing/2014/main" id="{00000000-0008-0000-0600-000005000000}"/>
            </a:ext>
          </a:extLst>
        </xdr:cNvPr>
        <xdr:cNvPicPr>
          <a:picLocks noChangeAspect="1"/>
        </xdr:cNvPicPr>
      </xdr:nvPicPr>
      <xdr:blipFill>
        <a:blip xmlns:r="http://schemas.openxmlformats.org/officeDocument/2006/relationships" r:embed="rId4" cstate="print"/>
        <a:stretch>
          <a:fillRect/>
        </a:stretch>
      </xdr:blipFill>
      <xdr:spPr>
        <a:xfrm>
          <a:off x="5810250" y="16925925"/>
          <a:ext cx="4514286" cy="48571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0</xdr:colOff>
      <xdr:row>3</xdr:row>
      <xdr:rowOff>0</xdr:rowOff>
    </xdr:from>
    <xdr:to>
      <xdr:col>21</xdr:col>
      <xdr:colOff>237429</xdr:colOff>
      <xdr:row>5</xdr:row>
      <xdr:rowOff>95190</xdr:rowOff>
    </xdr:to>
    <xdr:pic>
      <xdr:nvPicPr>
        <xdr:cNvPr id="2" name="Imagen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1591925" y="1333500"/>
          <a:ext cx="5571429" cy="476190"/>
        </a:xfrm>
        <a:prstGeom prst="rect">
          <a:avLst/>
        </a:prstGeom>
      </xdr:spPr>
    </xdr:pic>
    <xdr:clientData/>
  </xdr:twoCellAnchor>
  <xdr:twoCellAnchor editAs="oneCell">
    <xdr:from>
      <xdr:col>14</xdr:col>
      <xdr:colOff>0</xdr:colOff>
      <xdr:row>8</xdr:row>
      <xdr:rowOff>0</xdr:rowOff>
    </xdr:from>
    <xdr:to>
      <xdr:col>19</xdr:col>
      <xdr:colOff>504286</xdr:colOff>
      <xdr:row>8</xdr:row>
      <xdr:rowOff>180952</xdr:rowOff>
    </xdr:to>
    <xdr:pic>
      <xdr:nvPicPr>
        <xdr:cNvPr id="3" name="Imagen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tretch>
          <a:fillRect/>
        </a:stretch>
      </xdr:blipFill>
      <xdr:spPr>
        <a:xfrm>
          <a:off x="11591925" y="2286000"/>
          <a:ext cx="4314286" cy="180952"/>
        </a:xfrm>
        <a:prstGeom prst="rect">
          <a:avLst/>
        </a:prstGeom>
      </xdr:spPr>
    </xdr:pic>
    <xdr:clientData/>
  </xdr:twoCellAnchor>
  <xdr:twoCellAnchor editAs="oneCell">
    <xdr:from>
      <xdr:col>14</xdr:col>
      <xdr:colOff>342900</xdr:colOff>
      <xdr:row>13</xdr:row>
      <xdr:rowOff>47625</xdr:rowOff>
    </xdr:from>
    <xdr:to>
      <xdr:col>25</xdr:col>
      <xdr:colOff>532394</xdr:colOff>
      <xdr:row>14</xdr:row>
      <xdr:rowOff>9506</xdr:rowOff>
    </xdr:to>
    <xdr:pic>
      <xdr:nvPicPr>
        <xdr:cNvPr id="4" name="Imagen 3">
          <a:extLst>
            <a:ext uri="{FF2B5EF4-FFF2-40B4-BE49-F238E27FC236}">
              <a16:creationId xmlns="" xmlns:a16="http://schemas.microsoft.com/office/drawing/2014/main" id="{00000000-0008-0000-0700-000004000000}"/>
            </a:ext>
          </a:extLst>
        </xdr:cNvPr>
        <xdr:cNvPicPr>
          <a:picLocks noChangeAspect="1"/>
        </xdr:cNvPicPr>
      </xdr:nvPicPr>
      <xdr:blipFill>
        <a:blip xmlns:r="http://schemas.openxmlformats.org/officeDocument/2006/relationships" r:embed="rId3" cstate="print"/>
        <a:stretch>
          <a:fillRect/>
        </a:stretch>
      </xdr:blipFill>
      <xdr:spPr>
        <a:xfrm>
          <a:off x="11734800" y="2905125"/>
          <a:ext cx="8047619" cy="152381"/>
        </a:xfrm>
        <a:prstGeom prst="rect">
          <a:avLst/>
        </a:prstGeom>
      </xdr:spPr>
    </xdr:pic>
    <xdr:clientData/>
  </xdr:twoCellAnchor>
  <xdr:twoCellAnchor editAs="oneCell">
    <xdr:from>
      <xdr:col>8</xdr:col>
      <xdr:colOff>609600</xdr:colOff>
      <xdr:row>53</xdr:row>
      <xdr:rowOff>57151</xdr:rowOff>
    </xdr:from>
    <xdr:to>
      <xdr:col>14</xdr:col>
      <xdr:colOff>47074</xdr:colOff>
      <xdr:row>55</xdr:row>
      <xdr:rowOff>18343</xdr:rowOff>
    </xdr:to>
    <xdr:pic>
      <xdr:nvPicPr>
        <xdr:cNvPr id="5" name="Imagen 4">
          <a:extLst>
            <a:ext uri="{FF2B5EF4-FFF2-40B4-BE49-F238E27FC236}">
              <a16:creationId xmlns=""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stretch>
          <a:fillRect/>
        </a:stretch>
      </xdr:blipFill>
      <xdr:spPr>
        <a:xfrm>
          <a:off x="7486650" y="9582151"/>
          <a:ext cx="3952324" cy="342192"/>
        </a:xfrm>
        <a:prstGeom prst="rect">
          <a:avLst/>
        </a:prstGeom>
      </xdr:spPr>
    </xdr:pic>
    <xdr:clientData/>
  </xdr:twoCellAnchor>
  <xdr:twoCellAnchor editAs="oneCell">
    <xdr:from>
      <xdr:col>8</xdr:col>
      <xdr:colOff>542924</xdr:colOff>
      <xdr:row>51</xdr:row>
      <xdr:rowOff>57150</xdr:rowOff>
    </xdr:from>
    <xdr:to>
      <xdr:col>14</xdr:col>
      <xdr:colOff>56597</xdr:colOff>
      <xdr:row>53</xdr:row>
      <xdr:rowOff>75529</xdr:rowOff>
    </xdr:to>
    <xdr:pic>
      <xdr:nvPicPr>
        <xdr:cNvPr id="6" name="Imagen 5">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5" cstate="print"/>
        <a:stretch>
          <a:fillRect/>
        </a:stretch>
      </xdr:blipFill>
      <xdr:spPr>
        <a:xfrm>
          <a:off x="7419974" y="9201150"/>
          <a:ext cx="4028523" cy="399379"/>
        </a:xfrm>
        <a:prstGeom prst="rect">
          <a:avLst/>
        </a:prstGeom>
      </xdr:spPr>
    </xdr:pic>
    <xdr:clientData/>
  </xdr:twoCellAnchor>
  <xdr:twoCellAnchor editAs="oneCell">
    <xdr:from>
      <xdr:col>9</xdr:col>
      <xdr:colOff>0</xdr:colOff>
      <xdr:row>50</xdr:row>
      <xdr:rowOff>0</xdr:rowOff>
    </xdr:from>
    <xdr:to>
      <xdr:col>14</xdr:col>
      <xdr:colOff>570954</xdr:colOff>
      <xdr:row>52</xdr:row>
      <xdr:rowOff>38048</xdr:rowOff>
    </xdr:to>
    <xdr:pic>
      <xdr:nvPicPr>
        <xdr:cNvPr id="7" name="Imagen 6">
          <a:extLst>
            <a:ext uri="{FF2B5EF4-FFF2-40B4-BE49-F238E27FC236}">
              <a16:creationId xmlns="" xmlns:a16="http://schemas.microsoft.com/office/drawing/2014/main" id="{00000000-0008-0000-0700-000007000000}"/>
            </a:ext>
          </a:extLst>
        </xdr:cNvPr>
        <xdr:cNvPicPr>
          <a:picLocks noChangeAspect="1"/>
        </xdr:cNvPicPr>
      </xdr:nvPicPr>
      <xdr:blipFill>
        <a:blip xmlns:r="http://schemas.openxmlformats.org/officeDocument/2006/relationships" r:embed="rId6" cstate="print"/>
        <a:stretch>
          <a:fillRect/>
        </a:stretch>
      </xdr:blipFill>
      <xdr:spPr>
        <a:xfrm>
          <a:off x="7591425" y="8953500"/>
          <a:ext cx="4371429" cy="419048"/>
        </a:xfrm>
        <a:prstGeom prst="rect">
          <a:avLst/>
        </a:prstGeom>
      </xdr:spPr>
    </xdr:pic>
    <xdr:clientData/>
  </xdr:twoCellAnchor>
  <xdr:twoCellAnchor editAs="oneCell">
    <xdr:from>
      <xdr:col>9</xdr:col>
      <xdr:colOff>0</xdr:colOff>
      <xdr:row>56</xdr:row>
      <xdr:rowOff>0</xdr:rowOff>
    </xdr:from>
    <xdr:to>
      <xdr:col>15</xdr:col>
      <xdr:colOff>246957</xdr:colOff>
      <xdr:row>57</xdr:row>
      <xdr:rowOff>177194</xdr:rowOff>
    </xdr:to>
    <xdr:pic>
      <xdr:nvPicPr>
        <xdr:cNvPr id="8" name="Imagen 7">
          <a:extLst>
            <a:ext uri="{FF2B5EF4-FFF2-40B4-BE49-F238E27FC236}">
              <a16:creationId xmlns="" xmlns:a16="http://schemas.microsoft.com/office/drawing/2014/main" id="{00000000-0008-0000-0700-000008000000}"/>
            </a:ext>
          </a:extLst>
        </xdr:cNvPr>
        <xdr:cNvPicPr>
          <a:picLocks noChangeAspect="1"/>
        </xdr:cNvPicPr>
      </xdr:nvPicPr>
      <xdr:blipFill>
        <a:blip xmlns:r="http://schemas.openxmlformats.org/officeDocument/2006/relationships" r:embed="rId7" cstate="print"/>
        <a:stretch>
          <a:fillRect/>
        </a:stretch>
      </xdr:blipFill>
      <xdr:spPr>
        <a:xfrm>
          <a:off x="7591425" y="10096500"/>
          <a:ext cx="4761807" cy="367694"/>
        </a:xfrm>
        <a:prstGeom prst="rect">
          <a:avLst/>
        </a:prstGeom>
      </xdr:spPr>
    </xdr:pic>
    <xdr:clientData/>
  </xdr:twoCellAnchor>
  <xdr:twoCellAnchor editAs="oneCell">
    <xdr:from>
      <xdr:col>15</xdr:col>
      <xdr:colOff>666749</xdr:colOff>
      <xdr:row>43</xdr:row>
      <xdr:rowOff>167832</xdr:rowOff>
    </xdr:from>
    <xdr:to>
      <xdr:col>24</xdr:col>
      <xdr:colOff>8677</xdr:colOff>
      <xdr:row>58</xdr:row>
      <xdr:rowOff>37699</xdr:rowOff>
    </xdr:to>
    <xdr:pic>
      <xdr:nvPicPr>
        <xdr:cNvPr id="9" name="Imagen 8">
          <a:extLst>
            <a:ext uri="{FF2B5EF4-FFF2-40B4-BE49-F238E27FC236}">
              <a16:creationId xmlns="" xmlns:a16="http://schemas.microsoft.com/office/drawing/2014/main" id="{00000000-0008-0000-0700-000009000000}"/>
            </a:ext>
          </a:extLst>
        </xdr:cNvPr>
        <xdr:cNvPicPr>
          <a:picLocks noChangeAspect="1"/>
        </xdr:cNvPicPr>
      </xdr:nvPicPr>
      <xdr:blipFill>
        <a:blip xmlns:r="http://schemas.openxmlformats.org/officeDocument/2006/relationships" r:embed="rId8" cstate="print"/>
        <a:stretch>
          <a:fillRect/>
        </a:stretch>
      </xdr:blipFill>
      <xdr:spPr>
        <a:xfrm>
          <a:off x="12773024" y="8549832"/>
          <a:ext cx="5771303" cy="272736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eim.org/index.php/clasificacion-de-maderas-comerciales-segun-sus-caracteristica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5">
    <pageSetUpPr fitToPage="1"/>
  </sheetPr>
  <dimension ref="C2:J56"/>
  <sheetViews>
    <sheetView topLeftCell="A43" zoomScaleNormal="100" workbookViewId="0">
      <selection activeCell="D21" sqref="D21"/>
    </sheetView>
  </sheetViews>
  <sheetFormatPr baseColWidth="10" defaultColWidth="9.140625" defaultRowHeight="15"/>
  <cols>
    <col min="1" max="1" width="9.140625" style="193"/>
    <col min="2" max="2" width="3" style="193" bestFit="1" customWidth="1"/>
    <col min="3" max="3" width="46.28515625" style="196" customWidth="1"/>
    <col min="4" max="4" width="72.7109375" style="128" customWidth="1"/>
    <col min="5" max="5" width="24.5703125" style="196" customWidth="1"/>
    <col min="6" max="6" width="40.28515625" style="196" bestFit="1" customWidth="1"/>
    <col min="7" max="7" width="64.85546875" style="196" customWidth="1"/>
    <col min="8" max="8" width="13.85546875" style="196" bestFit="1" customWidth="1"/>
    <col min="9" max="9" width="35.28515625" style="193" customWidth="1"/>
    <col min="10" max="10" width="51" style="193" customWidth="1"/>
    <col min="11" max="11" width="3" style="193" bestFit="1" customWidth="1"/>
    <col min="12" max="16384" width="9.140625" style="193"/>
  </cols>
  <sheetData>
    <row r="2" spans="3:10" ht="21">
      <c r="C2" s="237" t="s">
        <v>559</v>
      </c>
      <c r="D2" s="238"/>
      <c r="E2" s="238"/>
      <c r="F2" s="238"/>
      <c r="G2" s="238"/>
      <c r="H2" s="238"/>
      <c r="I2" s="238"/>
      <c r="J2" s="239"/>
    </row>
    <row r="3" spans="3:10">
      <c r="C3" s="198"/>
      <c r="D3" s="157"/>
      <c r="E3" s="195"/>
      <c r="F3" s="195" t="s">
        <v>585</v>
      </c>
      <c r="G3" s="195"/>
      <c r="H3" s="195"/>
      <c r="I3" s="195"/>
      <c r="J3" s="197"/>
    </row>
    <row r="4" spans="3:10">
      <c r="C4" s="198"/>
      <c r="D4" s="157"/>
      <c r="E4" s="195"/>
      <c r="F4" s="195"/>
      <c r="G4" s="195"/>
      <c r="H4" s="195"/>
      <c r="I4" s="195"/>
      <c r="J4" s="197"/>
    </row>
    <row r="5" spans="3:10">
      <c r="C5" s="198"/>
      <c r="D5" s="157"/>
      <c r="E5" s="195"/>
      <c r="F5" s="195"/>
      <c r="G5" s="195"/>
      <c r="H5" s="195"/>
      <c r="I5" s="195"/>
      <c r="J5" s="197"/>
    </row>
    <row r="6" spans="3:10">
      <c r="C6" s="198"/>
      <c r="D6" s="157"/>
      <c r="E6" s="195"/>
      <c r="F6" s="195"/>
      <c r="G6" s="195"/>
      <c r="H6" s="195"/>
      <c r="I6" s="195"/>
      <c r="J6" s="197"/>
    </row>
    <row r="7" spans="3:10">
      <c r="C7" s="198"/>
      <c r="D7" s="157"/>
      <c r="E7" s="195"/>
      <c r="F7" s="195"/>
      <c r="G7" s="195"/>
      <c r="H7" s="195"/>
      <c r="I7" s="195"/>
      <c r="J7" s="197"/>
    </row>
    <row r="8" spans="3:10">
      <c r="C8" s="199"/>
      <c r="D8" s="161"/>
      <c r="E8" s="200"/>
      <c r="F8" s="200"/>
      <c r="G8" s="200"/>
      <c r="H8" s="200"/>
      <c r="I8" s="200"/>
      <c r="J8" s="201"/>
    </row>
    <row r="10" spans="3:10" ht="16.5" thickBot="1">
      <c r="C10" s="192" t="s">
        <v>120</v>
      </c>
      <c r="D10" s="164"/>
      <c r="E10" s="202"/>
      <c r="F10" s="202"/>
      <c r="G10" s="202"/>
      <c r="H10" s="202"/>
      <c r="I10" s="202"/>
      <c r="J10" s="202"/>
    </row>
    <row r="11" spans="3:10" ht="15.75" thickBot="1">
      <c r="C11" s="203" t="s">
        <v>546</v>
      </c>
      <c r="D11" s="129" t="s">
        <v>610</v>
      </c>
      <c r="E11" s="130"/>
      <c r="F11" s="130"/>
      <c r="G11" s="130"/>
      <c r="H11" s="130"/>
      <c r="I11" s="130"/>
      <c r="J11" s="130"/>
    </row>
    <row r="12" spans="3:10">
      <c r="I12" s="196"/>
      <c r="J12" s="196"/>
    </row>
    <row r="13" spans="3:10" ht="16.5" thickBot="1">
      <c r="C13" s="192" t="s">
        <v>547</v>
      </c>
      <c r="D13" s="164"/>
      <c r="E13" s="202"/>
      <c r="F13" s="202"/>
      <c r="G13" s="202"/>
      <c r="H13" s="202"/>
      <c r="I13" s="202"/>
      <c r="J13" s="202"/>
    </row>
    <row r="14" spans="3:10" ht="15.75" thickBot="1">
      <c r="C14" s="193" t="s">
        <v>171</v>
      </c>
      <c r="D14" s="233" t="s">
        <v>614</v>
      </c>
      <c r="E14" s="234"/>
      <c r="F14" s="193"/>
      <c r="I14" s="196"/>
      <c r="J14" s="196"/>
    </row>
    <row r="15" spans="3:10" ht="15.75" thickBot="1">
      <c r="C15" s="130" t="s">
        <v>440</v>
      </c>
      <c r="D15" s="233" t="s">
        <v>613</v>
      </c>
      <c r="E15" s="234"/>
      <c r="F15" s="193"/>
      <c r="G15" s="193"/>
      <c r="H15" s="193"/>
    </row>
    <row r="16" spans="3:10" ht="33.75" customHeight="1" thickBot="1">
      <c r="C16" s="130" t="s">
        <v>581</v>
      </c>
      <c r="D16" s="235" t="s">
        <v>612</v>
      </c>
      <c r="E16" s="236"/>
      <c r="F16" s="193"/>
      <c r="G16" s="193"/>
      <c r="H16" s="193"/>
    </row>
    <row r="17" spans="3:10" ht="15.75" thickBot="1">
      <c r="C17" s="130"/>
      <c r="D17" s="193"/>
      <c r="E17" s="193"/>
      <c r="F17" s="193"/>
      <c r="G17" s="193"/>
      <c r="H17" s="193"/>
    </row>
    <row r="18" spans="3:10" ht="33" thickBot="1">
      <c r="C18" s="227" t="s">
        <v>421</v>
      </c>
      <c r="D18" s="228" t="s">
        <v>611</v>
      </c>
      <c r="E18" s="193"/>
      <c r="F18" s="227" t="s">
        <v>422</v>
      </c>
      <c r="G18" s="228" t="s">
        <v>615</v>
      </c>
      <c r="H18" s="193"/>
    </row>
    <row r="19" spans="3:10">
      <c r="C19" s="205"/>
      <c r="D19" s="193"/>
      <c r="E19" s="193"/>
      <c r="F19" s="205"/>
      <c r="G19" s="193"/>
      <c r="H19" s="193"/>
    </row>
    <row r="20" spans="3:10" ht="16.5" thickBot="1">
      <c r="C20" s="192" t="s">
        <v>106</v>
      </c>
      <c r="D20" s="164"/>
      <c r="E20" s="202"/>
      <c r="F20" s="202"/>
      <c r="G20" s="202"/>
      <c r="H20" s="202"/>
      <c r="I20" s="202"/>
      <c r="J20" s="202"/>
    </row>
    <row r="21" spans="3:10" ht="15.75" thickBot="1">
      <c r="C21" s="206" t="s">
        <v>446</v>
      </c>
      <c r="D21" s="204" t="s">
        <v>616</v>
      </c>
      <c r="E21" s="193"/>
      <c r="F21" s="193"/>
      <c r="I21" s="196"/>
      <c r="J21" s="196"/>
    </row>
    <row r="22" spans="3:10" s="208" customFormat="1">
      <c r="C22" s="207"/>
      <c r="D22" s="136"/>
      <c r="E22" s="207"/>
      <c r="F22" s="207"/>
      <c r="G22" s="207"/>
      <c r="H22" s="207"/>
      <c r="I22" s="207"/>
      <c r="J22" s="207"/>
    </row>
    <row r="23" spans="3:10" ht="16.5" thickBot="1">
      <c r="C23" s="192" t="s">
        <v>173</v>
      </c>
      <c r="D23" s="164"/>
      <c r="E23" s="202"/>
      <c r="F23" s="202"/>
      <c r="G23" s="202"/>
      <c r="H23" s="202"/>
      <c r="I23" s="202"/>
      <c r="J23" s="202"/>
    </row>
    <row r="24" spans="3:10" ht="30.75" thickBot="1">
      <c r="C24" s="130" t="s">
        <v>574</v>
      </c>
      <c r="D24" s="229" t="s">
        <v>618</v>
      </c>
      <c r="E24" s="193"/>
      <c r="F24" s="193"/>
      <c r="G24" s="193"/>
      <c r="H24" s="193"/>
    </row>
    <row r="25" spans="3:10" ht="18" thickBot="1">
      <c r="C25" s="208" t="s">
        <v>573</v>
      </c>
      <c r="D25" s="204" t="s">
        <v>617</v>
      </c>
      <c r="E25" s="193"/>
      <c r="F25" s="193"/>
      <c r="G25" s="193"/>
      <c r="H25" s="193"/>
    </row>
    <row r="26" spans="3:10">
      <c r="C26" s="208"/>
      <c r="D26" s="193"/>
      <c r="E26" s="193"/>
      <c r="F26" s="193"/>
      <c r="G26" s="193"/>
      <c r="H26" s="193"/>
    </row>
    <row r="27" spans="3:10" ht="16.5" thickBot="1">
      <c r="C27" s="167" t="s">
        <v>575</v>
      </c>
      <c r="D27" s="164"/>
      <c r="E27" s="202"/>
      <c r="F27" s="202"/>
      <c r="G27" s="202"/>
      <c r="H27" s="202"/>
      <c r="I27" s="202"/>
      <c r="J27" s="202"/>
    </row>
    <row r="28" spans="3:10" ht="30.75" thickBot="1">
      <c r="C28" s="196" t="s">
        <v>128</v>
      </c>
      <c r="D28" s="228" t="s">
        <v>619</v>
      </c>
    </row>
    <row r="29" spans="3:10" ht="15.75" thickBot="1">
      <c r="C29" s="196" t="s">
        <v>580</v>
      </c>
      <c r="D29" s="204" t="s">
        <v>620</v>
      </c>
    </row>
    <row r="30" spans="3:10">
      <c r="D30" s="136"/>
    </row>
    <row r="31" spans="3:10" ht="15.75">
      <c r="C31" s="167" t="s">
        <v>433</v>
      </c>
      <c r="D31" s="164"/>
      <c r="E31" s="202"/>
      <c r="F31" s="202"/>
      <c r="G31" s="202"/>
      <c r="H31" s="202"/>
      <c r="I31" s="202"/>
      <c r="J31" s="202"/>
    </row>
    <row r="32" spans="3:10" ht="30.75" thickBot="1">
      <c r="C32" s="209" t="s">
        <v>460</v>
      </c>
      <c r="D32" s="130"/>
      <c r="E32" s="193"/>
      <c r="F32" s="209" t="s">
        <v>461</v>
      </c>
      <c r="G32" s="193"/>
      <c r="H32" s="193"/>
      <c r="I32" s="210" t="s">
        <v>584</v>
      </c>
    </row>
    <row r="33" spans="3:10" ht="45.75" thickBot="1">
      <c r="C33" s="128" t="s">
        <v>128</v>
      </c>
      <c r="D33" s="229" t="s">
        <v>586</v>
      </c>
      <c r="F33" s="128" t="s">
        <v>128</v>
      </c>
      <c r="G33" s="229" t="s">
        <v>587</v>
      </c>
      <c r="H33" s="128"/>
      <c r="I33" s="128" t="s">
        <v>128</v>
      </c>
      <c r="J33" s="229" t="s">
        <v>588</v>
      </c>
    </row>
    <row r="34" spans="3:10" ht="15.75" thickBot="1">
      <c r="C34" s="196" t="s">
        <v>578</v>
      </c>
      <c r="D34" s="204" t="s">
        <v>576</v>
      </c>
      <c r="F34" s="196" t="s">
        <v>579</v>
      </c>
      <c r="G34" s="204" t="s">
        <v>576</v>
      </c>
      <c r="I34" s="196" t="s">
        <v>579</v>
      </c>
      <c r="J34" s="204" t="s">
        <v>576</v>
      </c>
    </row>
    <row r="35" spans="3:10">
      <c r="D35" s="136"/>
      <c r="G35" s="136"/>
      <c r="I35" s="196"/>
      <c r="J35" s="136"/>
    </row>
    <row r="36" spans="3:10" ht="16.5" thickBot="1">
      <c r="C36" s="192" t="s">
        <v>108</v>
      </c>
      <c r="D36" s="164"/>
      <c r="E36" s="202"/>
      <c r="F36" s="202"/>
      <c r="G36" s="202"/>
      <c r="H36" s="202"/>
      <c r="I36" s="202"/>
      <c r="J36" s="202"/>
    </row>
    <row r="37" spans="3:10" ht="60.75" thickBot="1">
      <c r="C37" s="230" t="s">
        <v>560</v>
      </c>
      <c r="D37" s="228" t="s">
        <v>622</v>
      </c>
      <c r="F37" s="207"/>
      <c r="G37" s="207"/>
      <c r="I37" s="196"/>
      <c r="J37" s="196"/>
    </row>
    <row r="38" spans="3:10" ht="18" thickBot="1">
      <c r="C38" s="231" t="s">
        <v>561</v>
      </c>
      <c r="D38" s="204" t="s">
        <v>621</v>
      </c>
      <c r="G38" s="207"/>
      <c r="I38" s="196"/>
      <c r="J38" s="196"/>
    </row>
    <row r="39" spans="3:10" ht="15.75" thickBot="1">
      <c r="C39" s="231"/>
      <c r="D39" s="175"/>
      <c r="G39" s="207"/>
      <c r="I39" s="196"/>
      <c r="J39" s="196"/>
    </row>
    <row r="40" spans="3:10" ht="60.75" thickBot="1">
      <c r="C40" s="231" t="s">
        <v>562</v>
      </c>
      <c r="D40" s="228" t="s">
        <v>622</v>
      </c>
      <c r="F40" s="207"/>
      <c r="G40" s="207"/>
      <c r="I40" s="196"/>
      <c r="J40" s="196"/>
    </row>
    <row r="41" spans="3:10" ht="18" thickBot="1">
      <c r="C41" s="232" t="s">
        <v>563</v>
      </c>
      <c r="D41" s="204" t="s">
        <v>577</v>
      </c>
      <c r="G41" s="207"/>
      <c r="I41" s="196"/>
      <c r="J41" s="196"/>
    </row>
    <row r="42" spans="3:10" ht="15.75" thickBot="1">
      <c r="D42" s="136"/>
      <c r="G42" s="207"/>
      <c r="I42" s="196"/>
      <c r="J42" s="196"/>
    </row>
    <row r="43" spans="3:10" ht="75.75" thickBot="1">
      <c r="C43" s="138" t="s">
        <v>599</v>
      </c>
      <c r="D43" s="228" t="s">
        <v>623</v>
      </c>
      <c r="F43" s="207"/>
      <c r="G43" s="207"/>
      <c r="I43" s="196"/>
      <c r="J43" s="196"/>
    </row>
    <row r="44" spans="3:10" ht="18" thickBot="1">
      <c r="C44" s="138" t="s">
        <v>600</v>
      </c>
      <c r="D44" s="204" t="s">
        <v>621</v>
      </c>
      <c r="G44" s="207"/>
      <c r="I44" s="196"/>
      <c r="J44" s="196"/>
    </row>
    <row r="45" spans="3:10">
      <c r="D45" s="136"/>
      <c r="G45" s="207"/>
      <c r="I45" s="196"/>
      <c r="J45" s="196"/>
    </row>
    <row r="46" spans="3:10">
      <c r="D46" s="136"/>
      <c r="I46" s="196"/>
      <c r="J46" s="196"/>
    </row>
    <row r="47" spans="3:10" ht="16.5" thickBot="1">
      <c r="C47" s="192" t="s">
        <v>109</v>
      </c>
      <c r="D47" s="164"/>
      <c r="E47" s="202"/>
      <c r="F47" s="202"/>
      <c r="G47" s="202"/>
      <c r="H47" s="202"/>
      <c r="I47" s="202"/>
      <c r="J47" s="202"/>
    </row>
    <row r="48" spans="3:10" ht="60.75" thickBot="1">
      <c r="C48" s="211" t="s">
        <v>590</v>
      </c>
      <c r="D48" s="228" t="s">
        <v>624</v>
      </c>
      <c r="I48" s="196"/>
      <c r="J48" s="196"/>
    </row>
    <row r="49" spans="3:10" ht="18" thickBot="1">
      <c r="C49" s="215" t="s">
        <v>601</v>
      </c>
      <c r="D49" s="204" t="s">
        <v>593</v>
      </c>
      <c r="I49" s="196"/>
      <c r="J49" s="196"/>
    </row>
    <row r="50" spans="3:10" ht="15.75" thickBot="1">
      <c r="C50" s="215"/>
      <c r="D50" s="175"/>
      <c r="I50" s="196"/>
      <c r="J50" s="196"/>
    </row>
    <row r="51" spans="3:10" ht="60.75" thickBot="1">
      <c r="C51" s="215" t="s">
        <v>591</v>
      </c>
      <c r="D51" s="228" t="s">
        <v>624</v>
      </c>
    </row>
    <row r="52" spans="3:10" ht="18" thickBot="1">
      <c r="C52" s="216" t="s">
        <v>602</v>
      </c>
      <c r="D52" s="204" t="s">
        <v>593</v>
      </c>
    </row>
    <row r="53" spans="3:10" ht="15.75" thickBot="1">
      <c r="D53" s="136"/>
    </row>
    <row r="54" spans="3:10" ht="75.75" thickBot="1">
      <c r="C54" s="138" t="s">
        <v>594</v>
      </c>
      <c r="D54" s="229" t="s">
        <v>625</v>
      </c>
    </row>
    <row r="55" spans="3:10" ht="18" thickBot="1">
      <c r="C55" s="128" t="s">
        <v>603</v>
      </c>
      <c r="D55" s="204" t="s">
        <v>577</v>
      </c>
    </row>
    <row r="56" spans="3:10">
      <c r="D56" s="136"/>
    </row>
  </sheetData>
  <mergeCells count="4">
    <mergeCell ref="D14:E14"/>
    <mergeCell ref="D16:E16"/>
    <mergeCell ref="C2:J2"/>
    <mergeCell ref="D15:E15"/>
  </mergeCells>
  <pageMargins left="0" right="0" top="0" bottom="0" header="0.31496062992125984" footer="0.31496062992125984"/>
  <pageSetup paperSize="9" scale="40" fitToHeight="0" orientation="landscape" horizontalDpi="4294967295" verticalDpi="4294967295" r:id="rId1"/>
  <drawing r:id="rId2"/>
  <legacyDrawing r:id="rId3"/>
</worksheet>
</file>

<file path=xl/worksheets/sheet10.xml><?xml version="1.0" encoding="utf-8"?>
<worksheet xmlns="http://schemas.openxmlformats.org/spreadsheetml/2006/main" xmlns:r="http://schemas.openxmlformats.org/officeDocument/2006/relationships">
  <sheetPr codeName="Hoja9"/>
  <dimension ref="B5:R112"/>
  <sheetViews>
    <sheetView topLeftCell="A97" workbookViewId="0">
      <selection activeCell="J30" sqref="J30"/>
    </sheetView>
  </sheetViews>
  <sheetFormatPr baseColWidth="10" defaultColWidth="10.7109375" defaultRowHeight="15"/>
  <cols>
    <col min="4" max="4" width="13.85546875" customWidth="1"/>
  </cols>
  <sheetData>
    <row r="5" spans="2:14">
      <c r="B5" t="s">
        <v>67</v>
      </c>
    </row>
    <row r="6" spans="2:14">
      <c r="B6">
        <v>21</v>
      </c>
      <c r="C6" t="s">
        <v>68</v>
      </c>
      <c r="D6" t="s">
        <v>69</v>
      </c>
      <c r="F6">
        <v>28.5</v>
      </c>
      <c r="G6" t="s">
        <v>68</v>
      </c>
      <c r="H6" t="s">
        <v>70</v>
      </c>
    </row>
    <row r="7" spans="2:14">
      <c r="B7">
        <v>18.93</v>
      </c>
      <c r="C7" t="s">
        <v>71</v>
      </c>
      <c r="F7">
        <v>18.93</v>
      </c>
      <c r="G7" t="s">
        <v>71</v>
      </c>
    </row>
    <row r="8" spans="2:14">
      <c r="B8">
        <v>1.2</v>
      </c>
      <c r="C8" t="s">
        <v>72</v>
      </c>
      <c r="F8">
        <v>1.34</v>
      </c>
      <c r="G8" t="s">
        <v>72</v>
      </c>
    </row>
    <row r="9" spans="2:14">
      <c r="B9">
        <f>B7/B6</f>
        <v>0.90142857142857147</v>
      </c>
      <c r="C9" t="s">
        <v>73</v>
      </c>
      <c r="F9">
        <f>F7/F6</f>
        <v>0.66421052631578947</v>
      </c>
      <c r="G9" t="s">
        <v>73</v>
      </c>
    </row>
    <row r="10" spans="2:14">
      <c r="B10">
        <f>B9*B8</f>
        <v>1.0817142857142856</v>
      </c>
      <c r="C10" t="s">
        <v>74</v>
      </c>
      <c r="F10" s="3">
        <f>F9*F8</f>
        <v>0.89004210526315797</v>
      </c>
      <c r="G10" t="s">
        <v>74</v>
      </c>
    </row>
    <row r="13" spans="2:14">
      <c r="B13" t="s">
        <v>75</v>
      </c>
      <c r="D13" t="s">
        <v>76</v>
      </c>
      <c r="J13" s="3" t="s">
        <v>77</v>
      </c>
      <c r="K13" s="3"/>
      <c r="L13" s="3"/>
      <c r="M13" s="3"/>
      <c r="N13" s="3"/>
    </row>
    <row r="14" spans="2:14">
      <c r="D14">
        <f>1/1000</f>
        <v>1E-3</v>
      </c>
      <c r="E14" t="s">
        <v>78</v>
      </c>
      <c r="F14">
        <v>0.437</v>
      </c>
      <c r="G14" t="s">
        <v>79</v>
      </c>
      <c r="J14" s="3" t="s">
        <v>80</v>
      </c>
      <c r="K14" s="3"/>
      <c r="L14" s="3"/>
      <c r="M14" s="3"/>
      <c r="N14" s="3"/>
    </row>
    <row r="15" spans="2:14">
      <c r="D15">
        <v>1</v>
      </c>
      <c r="E15" t="s">
        <v>78</v>
      </c>
      <c r="F15">
        <f>F14/D14</f>
        <v>437</v>
      </c>
      <c r="G15" t="s">
        <v>79</v>
      </c>
    </row>
    <row r="16" spans="2:14">
      <c r="C16" t="s">
        <v>52</v>
      </c>
      <c r="D16">
        <v>1380</v>
      </c>
      <c r="E16" t="s">
        <v>81</v>
      </c>
    </row>
    <row r="17" spans="2:11">
      <c r="D17">
        <v>1</v>
      </c>
      <c r="E17" t="s">
        <v>56</v>
      </c>
      <c r="F17">
        <f>F15/D16</f>
        <v>0.31666666666666665</v>
      </c>
    </row>
    <row r="22" spans="2:11">
      <c r="B22" t="s">
        <v>83</v>
      </c>
    </row>
    <row r="23" spans="2:11">
      <c r="B23" t="s">
        <v>84</v>
      </c>
      <c r="C23" t="s">
        <v>85</v>
      </c>
    </row>
    <row r="24" spans="2:11">
      <c r="C24" t="s">
        <v>86</v>
      </c>
      <c r="D24" t="s">
        <v>87</v>
      </c>
      <c r="E24" t="s">
        <v>88</v>
      </c>
      <c r="F24" t="s">
        <v>89</v>
      </c>
      <c r="G24" t="s">
        <v>78</v>
      </c>
      <c r="H24" t="s">
        <v>81</v>
      </c>
      <c r="I24" t="s">
        <v>56</v>
      </c>
    </row>
    <row r="25" spans="2:11">
      <c r="C25">
        <v>3.33</v>
      </c>
      <c r="D25">
        <f>0.05*0.025</f>
        <v>1.2500000000000002E-3</v>
      </c>
      <c r="E25">
        <f>C25*D25</f>
        <v>4.1625000000000013E-3</v>
      </c>
      <c r="F25">
        <v>1</v>
      </c>
      <c r="G25">
        <f>E25*F25</f>
        <v>4.1625000000000013E-3</v>
      </c>
      <c r="H25">
        <v>500</v>
      </c>
      <c r="I25">
        <f>G25*H25</f>
        <v>2.0812500000000007</v>
      </c>
      <c r="K25" s="8" t="s">
        <v>90</v>
      </c>
    </row>
    <row r="26" spans="2:11">
      <c r="K26" s="8"/>
    </row>
    <row r="27" spans="2:11">
      <c r="B27" t="s">
        <v>357</v>
      </c>
      <c r="D27">
        <f>C25*(0.05*2+0.025*2)*1</f>
        <v>0.49950000000000011</v>
      </c>
      <c r="E27" t="s">
        <v>358</v>
      </c>
      <c r="K27" s="8"/>
    </row>
    <row r="28" spans="2:11">
      <c r="B28" t="s">
        <v>359</v>
      </c>
      <c r="D28">
        <f>D27*'Cálculos fachada'!F99</f>
        <v>0.10089900000000003</v>
      </c>
      <c r="E28" t="s">
        <v>15</v>
      </c>
    </row>
    <row r="29" spans="2:11">
      <c r="B29" t="s">
        <v>362</v>
      </c>
    </row>
    <row r="30" spans="2:11">
      <c r="B30" t="s">
        <v>363</v>
      </c>
      <c r="D30">
        <v>2.2000000000000002</v>
      </c>
      <c r="E30" t="s">
        <v>87</v>
      </c>
    </row>
    <row r="31" spans="2:11">
      <c r="B31" t="s">
        <v>364</v>
      </c>
      <c r="D31">
        <f>D30*'Cálculos fachada'!F99</f>
        <v>0.44440000000000007</v>
      </c>
      <c r="E31" t="s">
        <v>15</v>
      </c>
    </row>
    <row r="48" spans="2:2">
      <c r="B48" t="s">
        <v>93</v>
      </c>
    </row>
    <row r="49" spans="2:10">
      <c r="F49" t="s">
        <v>98</v>
      </c>
      <c r="G49" t="s">
        <v>52</v>
      </c>
    </row>
    <row r="50" spans="2:10">
      <c r="F50" t="s">
        <v>51</v>
      </c>
      <c r="G50" t="s">
        <v>81</v>
      </c>
      <c r="H50" t="s">
        <v>15</v>
      </c>
      <c r="J50" t="s">
        <v>61</v>
      </c>
    </row>
    <row r="51" spans="2:10">
      <c r="B51" t="s">
        <v>94</v>
      </c>
      <c r="D51">
        <v>3</v>
      </c>
      <c r="E51" t="s">
        <v>95</v>
      </c>
      <c r="F51">
        <v>3.0000000000000001E-3</v>
      </c>
      <c r="G51">
        <v>700</v>
      </c>
      <c r="H51">
        <f>F51*G51</f>
        <v>2.1</v>
      </c>
      <c r="I51">
        <v>0.30599999999999999</v>
      </c>
      <c r="J51">
        <f>H51*I51</f>
        <v>0.64260000000000006</v>
      </c>
    </row>
    <row r="52" spans="2:10">
      <c r="B52" t="s">
        <v>96</v>
      </c>
      <c r="D52">
        <v>8</v>
      </c>
      <c r="E52" t="s">
        <v>95</v>
      </c>
    </row>
    <row r="53" spans="2:10">
      <c r="B53" t="s">
        <v>97</v>
      </c>
      <c r="D53">
        <v>2</v>
      </c>
      <c r="E53" t="s">
        <v>95</v>
      </c>
      <c r="F53">
        <v>0.01</v>
      </c>
      <c r="G53">
        <v>500</v>
      </c>
      <c r="H53">
        <f>F53*G53</f>
        <v>5</v>
      </c>
      <c r="I53">
        <v>0.26300000000000001</v>
      </c>
      <c r="J53">
        <f>H53*I53</f>
        <v>1.3149999999999999</v>
      </c>
    </row>
    <row r="54" spans="2:10">
      <c r="J54">
        <f>SUM(J51:J53)</f>
        <v>1.9576</v>
      </c>
    </row>
    <row r="57" spans="2:10">
      <c r="B57" t="s">
        <v>144</v>
      </c>
    </row>
    <row r="80" spans="16:16">
      <c r="P80" t="s">
        <v>145</v>
      </c>
    </row>
    <row r="82" spans="2:18">
      <c r="P82" s="7">
        <f>2.09*0.25/0.315</f>
        <v>1.6587301587301586</v>
      </c>
      <c r="Q82" s="3" t="s">
        <v>146</v>
      </c>
      <c r="R82" s="3"/>
    </row>
    <row r="85" spans="2:18">
      <c r="P85">
        <f>21.97/1.05</f>
        <v>20.923809523809521</v>
      </c>
    </row>
    <row r="95" spans="2:18">
      <c r="B95" t="s">
        <v>147</v>
      </c>
    </row>
    <row r="100" spans="2:9">
      <c r="B100" t="s">
        <v>186</v>
      </c>
    </row>
    <row r="101" spans="2:9">
      <c r="B101" t="s">
        <v>187</v>
      </c>
    </row>
    <row r="102" spans="2:9">
      <c r="B102" t="s">
        <v>188</v>
      </c>
    </row>
    <row r="104" spans="2:9">
      <c r="B104" t="s">
        <v>189</v>
      </c>
      <c r="E104" t="s">
        <v>204</v>
      </c>
    </row>
    <row r="105" spans="2:9">
      <c r="B105" t="s">
        <v>128</v>
      </c>
      <c r="C105" t="s">
        <v>190</v>
      </c>
      <c r="D105" t="s">
        <v>191</v>
      </c>
      <c r="E105" t="s">
        <v>192</v>
      </c>
      <c r="F105" t="s">
        <v>74</v>
      </c>
    </row>
    <row r="106" spans="2:9">
      <c r="B106" t="s">
        <v>193</v>
      </c>
      <c r="C106" t="s">
        <v>195</v>
      </c>
      <c r="D106" t="s">
        <v>194</v>
      </c>
      <c r="E106" t="s">
        <v>196</v>
      </c>
      <c r="F106">
        <v>4</v>
      </c>
      <c r="G106">
        <v>10</v>
      </c>
      <c r="I106" t="s">
        <v>205</v>
      </c>
    </row>
    <row r="107" spans="2:9">
      <c r="B107" t="s">
        <v>197</v>
      </c>
      <c r="C107" t="s">
        <v>198</v>
      </c>
      <c r="D107" t="s">
        <v>199</v>
      </c>
      <c r="E107" t="s">
        <v>200</v>
      </c>
      <c r="F107">
        <v>2</v>
      </c>
      <c r="G107">
        <v>7</v>
      </c>
    </row>
    <row r="108" spans="2:9">
      <c r="B108" t="s">
        <v>201</v>
      </c>
      <c r="C108" t="s">
        <v>198</v>
      </c>
      <c r="D108" t="s">
        <v>202</v>
      </c>
      <c r="E108" t="s">
        <v>203</v>
      </c>
      <c r="F108">
        <v>2</v>
      </c>
      <c r="G108">
        <v>5</v>
      </c>
    </row>
    <row r="109" spans="2:9">
      <c r="B109" t="s">
        <v>206</v>
      </c>
      <c r="C109" t="s">
        <v>198</v>
      </c>
      <c r="D109" t="s">
        <v>199</v>
      </c>
      <c r="E109" t="s">
        <v>207</v>
      </c>
      <c r="F109">
        <v>2.5</v>
      </c>
      <c r="G109">
        <v>5</v>
      </c>
    </row>
    <row r="112" spans="2:9">
      <c r="F112">
        <f>AVERAGE(F106:G109)</f>
        <v>4.6875</v>
      </c>
      <c r="H112" t="s">
        <v>208</v>
      </c>
    </row>
  </sheetData>
  <hyperlinks>
    <hyperlink ref="K25" r:id="rId1"/>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sheetPr codeName="Hoja10"/>
  <dimension ref="B2:L58"/>
  <sheetViews>
    <sheetView workbookViewId="0">
      <selection activeCell="H18" sqref="H18"/>
    </sheetView>
  </sheetViews>
  <sheetFormatPr baseColWidth="10" defaultColWidth="10.7109375" defaultRowHeight="15"/>
  <cols>
    <col min="2" max="2" width="17" customWidth="1"/>
    <col min="3" max="3" width="21.85546875" customWidth="1"/>
    <col min="10" max="10" width="14.140625" bestFit="1" customWidth="1"/>
  </cols>
  <sheetData>
    <row r="2" spans="2:12">
      <c r="E2" t="s">
        <v>52</v>
      </c>
      <c r="F2" t="s">
        <v>53</v>
      </c>
      <c r="H2" t="s">
        <v>54</v>
      </c>
      <c r="I2" t="s">
        <v>53</v>
      </c>
      <c r="J2" s="3" t="s">
        <v>23</v>
      </c>
    </row>
    <row r="3" spans="2:12" ht="45">
      <c r="B3" t="s">
        <v>148</v>
      </c>
      <c r="C3" s="1" t="s">
        <v>38</v>
      </c>
      <c r="D3" t="s">
        <v>51</v>
      </c>
      <c r="E3" t="s">
        <v>55</v>
      </c>
      <c r="G3" t="s">
        <v>15</v>
      </c>
      <c r="J3" s="3" t="s">
        <v>61</v>
      </c>
    </row>
    <row r="4" spans="2:12">
      <c r="B4" t="s">
        <v>184</v>
      </c>
      <c r="C4" t="s">
        <v>149</v>
      </c>
      <c r="D4">
        <v>8.0000000000000002E-3</v>
      </c>
      <c r="E4">
        <v>2200</v>
      </c>
      <c r="F4" t="s">
        <v>57</v>
      </c>
      <c r="G4">
        <f>D4*E4</f>
        <v>17.600000000000001</v>
      </c>
      <c r="H4">
        <v>0.48</v>
      </c>
      <c r="I4" t="s">
        <v>58</v>
      </c>
      <c r="J4">
        <f>G4*H4</f>
        <v>8.4480000000000004</v>
      </c>
      <c r="L4" t="s">
        <v>155</v>
      </c>
    </row>
    <row r="5" spans="2:12">
      <c r="C5" t="s">
        <v>35</v>
      </c>
      <c r="D5">
        <v>3.0000000000000001E-3</v>
      </c>
      <c r="G5">
        <v>5</v>
      </c>
      <c r="H5">
        <v>0.183</v>
      </c>
      <c r="I5" t="s">
        <v>58</v>
      </c>
      <c r="J5" s="2">
        <f>G5*H5</f>
        <v>0.91500000000000004</v>
      </c>
    </row>
    <row r="6" spans="2:12">
      <c r="J6" s="3">
        <f>SUM(J4:J5)</f>
        <v>9.3629999999999995</v>
      </c>
    </row>
    <row r="9" spans="2:12">
      <c r="B9" t="s">
        <v>183</v>
      </c>
      <c r="C9" t="s">
        <v>34</v>
      </c>
      <c r="D9">
        <v>0.01</v>
      </c>
      <c r="E9">
        <v>2500</v>
      </c>
      <c r="F9" t="s">
        <v>57</v>
      </c>
      <c r="G9">
        <f>D9*E9</f>
        <v>25</v>
      </c>
      <c r="H9">
        <v>0.78</v>
      </c>
      <c r="I9" t="s">
        <v>58</v>
      </c>
      <c r="J9" s="2">
        <f>G9*H9</f>
        <v>19.5</v>
      </c>
    </row>
    <row r="10" spans="2:12">
      <c r="C10" t="s">
        <v>35</v>
      </c>
      <c r="E10">
        <v>1900</v>
      </c>
      <c r="F10" t="s">
        <v>57</v>
      </c>
      <c r="G10">
        <v>5</v>
      </c>
      <c r="H10">
        <v>0.183</v>
      </c>
      <c r="I10" t="s">
        <v>58</v>
      </c>
      <c r="J10" s="2">
        <f>G10*H10</f>
        <v>0.91500000000000004</v>
      </c>
    </row>
    <row r="11" spans="2:12">
      <c r="J11" s="7">
        <f>SUM(J9:J10)</f>
        <v>20.414999999999999</v>
      </c>
    </row>
    <row r="14" spans="2:12">
      <c r="B14" t="s">
        <v>150</v>
      </c>
      <c r="J14" s="3">
        <v>2.2200000000000002</v>
      </c>
      <c r="L14" t="s">
        <v>185</v>
      </c>
    </row>
    <row r="18" spans="2:12">
      <c r="B18" t="s">
        <v>113</v>
      </c>
      <c r="C18" t="s">
        <v>151</v>
      </c>
      <c r="D18">
        <v>0.01</v>
      </c>
      <c r="E18">
        <f>D56</f>
        <v>575</v>
      </c>
      <c r="F18" t="s">
        <v>268</v>
      </c>
      <c r="G18">
        <f>D18*E18</f>
        <v>5.75</v>
      </c>
      <c r="H18">
        <f>E56</f>
        <v>0.57450000000000001</v>
      </c>
      <c r="I18" t="s">
        <v>268</v>
      </c>
      <c r="J18">
        <f>G18*H18</f>
        <v>3.303375</v>
      </c>
    </row>
    <row r="19" spans="2:12">
      <c r="C19" t="s">
        <v>152</v>
      </c>
      <c r="D19">
        <v>0.01</v>
      </c>
      <c r="G19">
        <v>0.3</v>
      </c>
      <c r="H19">
        <v>0.26300000000000001</v>
      </c>
      <c r="I19" t="s">
        <v>58</v>
      </c>
      <c r="J19">
        <f>G19*H19</f>
        <v>7.8899999999999998E-2</v>
      </c>
    </row>
    <row r="20" spans="2:12">
      <c r="C20" t="s">
        <v>64</v>
      </c>
      <c r="D20">
        <v>8.0000000000000007E-5</v>
      </c>
      <c r="E20">
        <v>1000</v>
      </c>
      <c r="F20" t="s">
        <v>65</v>
      </c>
      <c r="G20">
        <f>D20*E20*1.2</f>
        <v>9.6000000000000002E-2</v>
      </c>
      <c r="H20">
        <v>2.54</v>
      </c>
      <c r="J20" s="2">
        <f>G20*H20</f>
        <v>0.24384</v>
      </c>
    </row>
    <row r="21" spans="2:12">
      <c r="C21" t="s">
        <v>353</v>
      </c>
      <c r="G21">
        <f>D48</f>
        <v>3.2320000000000002E-2</v>
      </c>
      <c r="H21">
        <f>'Revest. fachadas ventilada'!H8</f>
        <v>2.54</v>
      </c>
      <c r="J21" s="2">
        <f>G21*H21</f>
        <v>8.2092800000000007E-2</v>
      </c>
    </row>
    <row r="22" spans="2:12">
      <c r="J22" s="7">
        <f>SUM(J18:J21)</f>
        <v>3.7082077999999998</v>
      </c>
    </row>
    <row r="25" spans="2:12">
      <c r="B25" t="s">
        <v>114</v>
      </c>
      <c r="C25" t="s">
        <v>151</v>
      </c>
      <c r="J25">
        <v>24.2</v>
      </c>
      <c r="L25" t="s">
        <v>269</v>
      </c>
    </row>
    <row r="26" spans="2:12">
      <c r="C26" t="s">
        <v>153</v>
      </c>
      <c r="D26">
        <v>0.1</v>
      </c>
      <c r="G26">
        <v>0.3</v>
      </c>
      <c r="H26">
        <v>0.26300000000000001</v>
      </c>
      <c r="I26" t="s">
        <v>58</v>
      </c>
      <c r="J26">
        <f>G26*H26</f>
        <v>7.8899999999999998E-2</v>
      </c>
    </row>
    <row r="27" spans="2:12">
      <c r="C27" t="s">
        <v>353</v>
      </c>
      <c r="G27">
        <f>D48</f>
        <v>3.2320000000000002E-2</v>
      </c>
      <c r="H27">
        <f>'Revest. fachadas ventilada'!H8</f>
        <v>2.54</v>
      </c>
      <c r="J27" s="2">
        <f>G27*H27</f>
        <v>8.2092800000000007E-2</v>
      </c>
    </row>
    <row r="28" spans="2:12">
      <c r="J28" s="2">
        <f>SUM(J25:J27)</f>
        <v>24.360992800000002</v>
      </c>
    </row>
    <row r="31" spans="2:12">
      <c r="B31" s="3" t="s">
        <v>209</v>
      </c>
      <c r="C31" t="s">
        <v>210</v>
      </c>
      <c r="E31" t="s">
        <v>214</v>
      </c>
    </row>
    <row r="32" spans="2:12">
      <c r="B32" t="s">
        <v>211</v>
      </c>
    </row>
    <row r="33" spans="2:5">
      <c r="B33" t="s">
        <v>213</v>
      </c>
      <c r="D33">
        <v>0.6</v>
      </c>
      <c r="E33" t="s">
        <v>51</v>
      </c>
    </row>
    <row r="34" spans="2:5">
      <c r="B34" t="s">
        <v>212</v>
      </c>
      <c r="C34">
        <v>0.02</v>
      </c>
      <c r="D34">
        <v>0.01</v>
      </c>
      <c r="E34" t="s">
        <v>51</v>
      </c>
    </row>
    <row r="35" spans="2:5">
      <c r="B35" t="s">
        <v>215</v>
      </c>
    </row>
    <row r="36" spans="2:5">
      <c r="B36" t="s">
        <v>216</v>
      </c>
      <c r="C36">
        <v>0.02</v>
      </c>
      <c r="D36">
        <v>0.01</v>
      </c>
      <c r="E36" t="s">
        <v>51</v>
      </c>
    </row>
    <row r="38" spans="2:5">
      <c r="B38" t="s">
        <v>10</v>
      </c>
      <c r="C38">
        <f>C39+C40</f>
        <v>6.0000000000000006E-4</v>
      </c>
    </row>
    <row r="39" spans="2:5">
      <c r="B39" t="s">
        <v>217</v>
      </c>
      <c r="C39">
        <f>2*0.02*0.01</f>
        <v>4.0000000000000002E-4</v>
      </c>
      <c r="D39" t="s">
        <v>78</v>
      </c>
    </row>
    <row r="40" spans="2:5">
      <c r="B40" t="s">
        <v>218</v>
      </c>
      <c r="C40">
        <f>3*0.02*0.01/3</f>
        <v>1.9999999999999998E-4</v>
      </c>
      <c r="D40" t="s">
        <v>78</v>
      </c>
    </row>
    <row r="42" spans="2:5">
      <c r="B42" t="s">
        <v>219</v>
      </c>
      <c r="C42">
        <v>500</v>
      </c>
      <c r="D42" t="s">
        <v>91</v>
      </c>
    </row>
    <row r="43" spans="2:5">
      <c r="B43" t="s">
        <v>220</v>
      </c>
      <c r="C43">
        <f>C42*C38</f>
        <v>0.30000000000000004</v>
      </c>
    </row>
    <row r="45" spans="2:5">
      <c r="B45" t="s">
        <v>354</v>
      </c>
      <c r="D45">
        <f>(0.02*2+0.01*1)*1*2</f>
        <v>0.1</v>
      </c>
      <c r="E45" t="s">
        <v>87</v>
      </c>
    </row>
    <row r="46" spans="2:5">
      <c r="B46" t="s">
        <v>355</v>
      </c>
      <c r="D46">
        <f>(0.02*2+0.01*2)*1*3/3</f>
        <v>0.06</v>
      </c>
      <c r="E46" t="s">
        <v>87</v>
      </c>
    </row>
    <row r="47" spans="2:5">
      <c r="B47" t="s">
        <v>23</v>
      </c>
      <c r="D47">
        <f>SUM(D45:D46)</f>
        <v>0.16</v>
      </c>
    </row>
    <row r="48" spans="2:5">
      <c r="B48" t="s">
        <v>356</v>
      </c>
      <c r="D48">
        <f>D47*'Cálculos fachada'!F99</f>
        <v>3.2320000000000002E-2</v>
      </c>
      <c r="E48" t="s">
        <v>15</v>
      </c>
    </row>
    <row r="51" spans="2:5">
      <c r="B51" s="3" t="s">
        <v>221</v>
      </c>
      <c r="C51" t="s">
        <v>191</v>
      </c>
      <c r="D51" t="s">
        <v>52</v>
      </c>
      <c r="E51" t="s">
        <v>54</v>
      </c>
    </row>
    <row r="52" spans="2:5">
      <c r="B52" t="s">
        <v>222</v>
      </c>
      <c r="C52">
        <v>0.1</v>
      </c>
      <c r="D52">
        <v>650</v>
      </c>
      <c r="E52">
        <v>0.45500000000000002</v>
      </c>
    </row>
    <row r="53" spans="2:5">
      <c r="B53" t="s">
        <v>223</v>
      </c>
      <c r="C53">
        <v>0.1</v>
      </c>
      <c r="D53">
        <v>450</v>
      </c>
      <c r="E53">
        <v>0.85599999999999998</v>
      </c>
    </row>
    <row r="54" spans="2:5">
      <c r="B54" t="s">
        <v>224</v>
      </c>
      <c r="C54">
        <v>0.1</v>
      </c>
      <c r="D54">
        <v>500</v>
      </c>
      <c r="E54">
        <v>0.68100000000000005</v>
      </c>
    </row>
    <row r="55" spans="2:5">
      <c r="B55" t="s">
        <v>267</v>
      </c>
      <c r="C55">
        <v>0.1</v>
      </c>
      <c r="D55">
        <v>700</v>
      </c>
      <c r="E55">
        <v>0.30599999999999999</v>
      </c>
    </row>
    <row r="56" spans="2:5">
      <c r="D56">
        <f>AVERAGE(D52:D55)</f>
        <v>575</v>
      </c>
      <c r="E56">
        <f>AVERAGE(E52:E55)</f>
        <v>0.57450000000000001</v>
      </c>
    </row>
    <row r="58" spans="2:5">
      <c r="B58" t="s">
        <v>265</v>
      </c>
      <c r="C58" t="s">
        <v>266</v>
      </c>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codeName="Hoja11"/>
  <dimension ref="A2:X32"/>
  <sheetViews>
    <sheetView topLeftCell="K1" workbookViewId="0">
      <pane ySplit="4" topLeftCell="A14" activePane="bottomLeft" state="frozen"/>
      <selection activeCell="D1" sqref="D1"/>
      <selection pane="bottomLeft" activeCell="T34" sqref="T34"/>
    </sheetView>
  </sheetViews>
  <sheetFormatPr baseColWidth="10" defaultColWidth="10.7109375" defaultRowHeight="15"/>
  <cols>
    <col min="2" max="2" width="16.7109375" customWidth="1"/>
    <col min="5" max="5" width="22.140625" bestFit="1" customWidth="1"/>
    <col min="10" max="10" width="15.85546875" customWidth="1"/>
    <col min="13" max="13" width="16.28515625" customWidth="1"/>
    <col min="14" max="14" width="13.28515625" customWidth="1"/>
    <col min="16" max="16" width="14.85546875" customWidth="1"/>
    <col min="18" max="18" width="13" customWidth="1"/>
    <col min="19" max="19" width="14.42578125" customWidth="1"/>
    <col min="20" max="20" width="17.85546875" customWidth="1"/>
    <col min="23" max="23" width="18.7109375" customWidth="1"/>
  </cols>
  <sheetData>
    <row r="2" spans="1:19">
      <c r="B2" t="s">
        <v>367</v>
      </c>
    </row>
    <row r="4" spans="1:19">
      <c r="B4" t="s">
        <v>368</v>
      </c>
      <c r="C4" t="s">
        <v>369</v>
      </c>
      <c r="D4" t="s">
        <v>370</v>
      </c>
      <c r="E4" t="s">
        <v>371</v>
      </c>
      <c r="F4" t="s">
        <v>372</v>
      </c>
      <c r="G4" t="s">
        <v>373</v>
      </c>
      <c r="H4" t="s">
        <v>374</v>
      </c>
      <c r="I4" t="s">
        <v>375</v>
      </c>
      <c r="J4" t="s">
        <v>376</v>
      </c>
      <c r="K4" t="s">
        <v>377</v>
      </c>
      <c r="L4" t="s">
        <v>389</v>
      </c>
      <c r="M4" t="s">
        <v>378</v>
      </c>
      <c r="N4" t="s">
        <v>394</v>
      </c>
      <c r="O4" t="s">
        <v>403</v>
      </c>
      <c r="P4" t="s">
        <v>378</v>
      </c>
      <c r="Q4" t="s">
        <v>394</v>
      </c>
    </row>
    <row r="5" spans="1:19">
      <c r="A5" t="s">
        <v>383</v>
      </c>
      <c r="B5" t="s">
        <v>379</v>
      </c>
      <c r="C5" t="s">
        <v>380</v>
      </c>
      <c r="D5" t="s">
        <v>381</v>
      </c>
      <c r="E5" t="s">
        <v>382</v>
      </c>
      <c r="F5">
        <v>58.17</v>
      </c>
      <c r="G5">
        <f>F5-H5</f>
        <v>34.650000000000006</v>
      </c>
      <c r="H5">
        <v>23.52</v>
      </c>
      <c r="M5">
        <v>358</v>
      </c>
      <c r="N5" s="76">
        <f t="shared" ref="N5:N10" si="0">M5/(1.23*1.48)</f>
        <v>196.66007470885521</v>
      </c>
      <c r="P5">
        <v>358</v>
      </c>
      <c r="Q5" s="76">
        <f>P5/(1.23*1.48)</f>
        <v>196.66007470885521</v>
      </c>
      <c r="S5" s="2"/>
    </row>
    <row r="6" spans="1:19">
      <c r="B6" t="s">
        <v>384</v>
      </c>
      <c r="C6" t="s">
        <v>380</v>
      </c>
      <c r="D6" t="s">
        <v>381</v>
      </c>
      <c r="E6" t="s">
        <v>382</v>
      </c>
      <c r="F6">
        <v>77.98</v>
      </c>
      <c r="G6">
        <f>F6-H6</f>
        <v>20.540000000000006</v>
      </c>
      <c r="H6">
        <v>57.44</v>
      </c>
      <c r="M6">
        <v>178</v>
      </c>
      <c r="N6" s="76">
        <f t="shared" si="0"/>
        <v>97.780707536805096</v>
      </c>
      <c r="Q6" s="76">
        <f>P6/(1.23*1.48)</f>
        <v>0</v>
      </c>
      <c r="S6" s="2"/>
    </row>
    <row r="7" spans="1:19">
      <c r="B7" t="s">
        <v>385</v>
      </c>
      <c r="C7" t="s">
        <v>380</v>
      </c>
      <c r="D7" t="s">
        <v>381</v>
      </c>
      <c r="E7" t="s">
        <v>382</v>
      </c>
      <c r="F7">
        <v>57.2</v>
      </c>
      <c r="G7">
        <f>F7-H7</f>
        <v>21.53</v>
      </c>
      <c r="H7">
        <v>35.67</v>
      </c>
      <c r="M7">
        <v>171</v>
      </c>
      <c r="N7" s="76">
        <f t="shared" si="0"/>
        <v>93.935398813447591</v>
      </c>
      <c r="P7">
        <v>171</v>
      </c>
      <c r="Q7" s="76">
        <f>P7/(1.23*1.48)</f>
        <v>93.935398813447591</v>
      </c>
      <c r="S7" s="2"/>
    </row>
    <row r="8" spans="1:19">
      <c r="B8" t="s">
        <v>392</v>
      </c>
      <c r="C8" t="s">
        <v>380</v>
      </c>
      <c r="D8" t="s">
        <v>381</v>
      </c>
      <c r="E8" t="s">
        <v>382</v>
      </c>
      <c r="F8">
        <v>48</v>
      </c>
      <c r="G8">
        <v>14</v>
      </c>
      <c r="H8">
        <v>30</v>
      </c>
      <c r="L8">
        <v>4.8</v>
      </c>
      <c r="M8">
        <f>(109+130)/2</f>
        <v>119.5</v>
      </c>
      <c r="N8" s="76">
        <f t="shared" si="0"/>
        <v>65.644913205888813</v>
      </c>
      <c r="P8">
        <f>(109+130)/2</f>
        <v>119.5</v>
      </c>
      <c r="Q8" s="76">
        <f>P8/(1.23*1.48)</f>
        <v>65.644913205888813</v>
      </c>
      <c r="S8" s="2"/>
    </row>
    <row r="9" spans="1:19">
      <c r="B9" t="s">
        <v>393</v>
      </c>
      <c r="C9" t="s">
        <v>380</v>
      </c>
      <c r="D9" t="s">
        <v>381</v>
      </c>
      <c r="E9" t="s">
        <v>382</v>
      </c>
      <c r="F9">
        <v>53.1</v>
      </c>
      <c r="G9">
        <v>16</v>
      </c>
      <c r="H9">
        <v>30</v>
      </c>
      <c r="L9">
        <v>7.1</v>
      </c>
      <c r="M9">
        <f>(136+159)/2</f>
        <v>147.5</v>
      </c>
      <c r="N9" s="76">
        <f t="shared" si="0"/>
        <v>81.026148099318831</v>
      </c>
      <c r="P9">
        <f>(136+159)/2</f>
        <v>147.5</v>
      </c>
      <c r="Q9" s="76">
        <f>P9/(1.23*1.48)</f>
        <v>81.026148099318831</v>
      </c>
      <c r="S9" s="2"/>
    </row>
    <row r="10" spans="1:19">
      <c r="G10" s="3">
        <f>AVERAGE(G5:G9)</f>
        <v>21.344000000000001</v>
      </c>
      <c r="H10" s="3">
        <f>AVERAGE(H5:H9)</f>
        <v>35.326000000000001</v>
      </c>
      <c r="M10">
        <v>189</v>
      </c>
      <c r="N10" s="76">
        <f t="shared" si="0"/>
        <v>103.8233355306526</v>
      </c>
      <c r="Q10" s="76"/>
      <c r="S10" s="2"/>
    </row>
    <row r="11" spans="1:19">
      <c r="C11" t="s">
        <v>380</v>
      </c>
      <c r="D11" t="s">
        <v>381</v>
      </c>
      <c r="E11" t="s">
        <v>395</v>
      </c>
      <c r="N11">
        <v>136</v>
      </c>
      <c r="Q11">
        <v>136</v>
      </c>
      <c r="S11" s="2"/>
    </row>
    <row r="12" spans="1:19">
      <c r="B12" s="3" t="s">
        <v>407</v>
      </c>
      <c r="M12" s="81">
        <f>AVERAGE(M5:M10)</f>
        <v>193.83333333333334</v>
      </c>
      <c r="N12" s="76">
        <f>AVERAGE(N5:N11)</f>
        <v>110.69579684213831</v>
      </c>
      <c r="P12" s="76">
        <f>AVERAGE(P5:P9)</f>
        <v>199</v>
      </c>
      <c r="Q12" s="76">
        <f>AVERAGE(Q5:Q11)</f>
        <v>95.544422471251735</v>
      </c>
      <c r="S12" s="2"/>
    </row>
    <row r="13" spans="1:19">
      <c r="S13" s="2"/>
    </row>
    <row r="14" spans="1:19">
      <c r="A14" t="s">
        <v>100</v>
      </c>
      <c r="B14" t="s">
        <v>386</v>
      </c>
      <c r="C14" t="s">
        <v>380</v>
      </c>
      <c r="D14" t="s">
        <v>381</v>
      </c>
      <c r="E14" t="s">
        <v>387</v>
      </c>
      <c r="F14">
        <f>SUM(G14:L14)</f>
        <v>80.650000000000006</v>
      </c>
      <c r="G14">
        <v>4.3499999999999996</v>
      </c>
      <c r="H14">
        <v>22.16</v>
      </c>
      <c r="I14">
        <v>33.32</v>
      </c>
      <c r="K14">
        <v>20.82</v>
      </c>
      <c r="M14">
        <v>306</v>
      </c>
      <c r="N14" s="76">
        <f>M14/(1.23*1.48)</f>
        <v>168.09492419248517</v>
      </c>
      <c r="P14">
        <v>306</v>
      </c>
      <c r="Q14" s="76">
        <f>P14/(1.23*1.48)</f>
        <v>168.09492419248517</v>
      </c>
      <c r="S14" s="2"/>
    </row>
    <row r="15" spans="1:19">
      <c r="B15" t="s">
        <v>388</v>
      </c>
      <c r="C15" t="s">
        <v>380</v>
      </c>
      <c r="D15" t="s">
        <v>381</v>
      </c>
      <c r="E15" t="s">
        <v>382</v>
      </c>
      <c r="F15">
        <f>SUM(G15:L15)</f>
        <v>95.399999999999991</v>
      </c>
      <c r="H15">
        <v>45.3</v>
      </c>
      <c r="I15">
        <v>25.7</v>
      </c>
      <c r="K15">
        <v>23.3</v>
      </c>
      <c r="L15">
        <v>1.1000000000000001</v>
      </c>
      <c r="M15">
        <v>122</v>
      </c>
      <c r="N15" s="76">
        <f>M15/(1.23*1.48)</f>
        <v>67.018237749945072</v>
      </c>
      <c r="Q15" s="76">
        <f>P15/(1.23*1.48)</f>
        <v>0</v>
      </c>
      <c r="S15" s="2"/>
    </row>
    <row r="16" spans="1:19">
      <c r="B16" t="s">
        <v>390</v>
      </c>
      <c r="C16" t="s">
        <v>380</v>
      </c>
      <c r="D16" t="s">
        <v>391</v>
      </c>
      <c r="E16" t="s">
        <v>382</v>
      </c>
      <c r="F16">
        <f>SUM(G16:L16)</f>
        <v>80.710000000000008</v>
      </c>
      <c r="H16">
        <v>34.770000000000003</v>
      </c>
      <c r="I16">
        <v>25.16</v>
      </c>
      <c r="K16">
        <v>20.78</v>
      </c>
      <c r="M16">
        <v>244</v>
      </c>
      <c r="N16" s="76">
        <f>M16/(1.23*1.48)</f>
        <v>134.03647549989014</v>
      </c>
      <c r="P16">
        <v>244</v>
      </c>
      <c r="Q16" s="76">
        <f>P16/(1.23*1.48)</f>
        <v>134.03647549989014</v>
      </c>
      <c r="S16" s="2"/>
    </row>
    <row r="17" spans="1:24">
      <c r="C17" t="s">
        <v>380</v>
      </c>
      <c r="D17" t="s">
        <v>381</v>
      </c>
      <c r="E17" t="s">
        <v>382</v>
      </c>
      <c r="H17">
        <v>47.1</v>
      </c>
      <c r="I17">
        <v>28.2</v>
      </c>
      <c r="K17">
        <v>18.899999999999999</v>
      </c>
      <c r="M17">
        <v>116</v>
      </c>
      <c r="N17" s="76">
        <f>M17/(1.23*1.48)</f>
        <v>63.72225884421006</v>
      </c>
      <c r="Q17" s="76">
        <f>P17/(1.23*1.48)</f>
        <v>0</v>
      </c>
      <c r="S17" s="2"/>
    </row>
    <row r="18" spans="1:24">
      <c r="H18" s="3">
        <f>AVERAGE(H14:H17)</f>
        <v>37.332499999999996</v>
      </c>
      <c r="I18" s="3">
        <f>AVERAGE(I14:I17)</f>
        <v>28.094999999999999</v>
      </c>
      <c r="K18" s="3">
        <f>AVERAGE(K14:K17)</f>
        <v>20.950000000000003</v>
      </c>
      <c r="M18" s="81">
        <f>AVERAGE(M15:M17)</f>
        <v>160.66666666666666</v>
      </c>
      <c r="N18" s="76">
        <f>AVERAGE(N15:N17)</f>
        <v>88.258990698015097</v>
      </c>
      <c r="P18" s="76">
        <f>AVERAGE(P14:P17)</f>
        <v>275</v>
      </c>
      <c r="Q18" s="76">
        <f>AVERAGE(Q14:Q17)</f>
        <v>75.532849923093835</v>
      </c>
      <c r="S18" s="2"/>
    </row>
    <row r="21" spans="1:24">
      <c r="A21" t="s">
        <v>24</v>
      </c>
      <c r="C21" t="s">
        <v>396</v>
      </c>
      <c r="D21" t="s">
        <v>381</v>
      </c>
      <c r="E21" t="s">
        <v>395</v>
      </c>
      <c r="F21">
        <v>38.200000000000003</v>
      </c>
      <c r="G21">
        <v>0.98</v>
      </c>
      <c r="H21">
        <v>22.29</v>
      </c>
      <c r="J21">
        <v>11.29</v>
      </c>
      <c r="K21">
        <v>2.4</v>
      </c>
      <c r="L21">
        <f>F21-G21-H21-J21-K21</f>
        <v>1.2400000000000078</v>
      </c>
      <c r="M21">
        <v>77.599999999999994</v>
      </c>
      <c r="N21">
        <v>77.599999999999994</v>
      </c>
      <c r="O21">
        <v>109.66</v>
      </c>
      <c r="P21" t="s">
        <v>405</v>
      </c>
    </row>
    <row r="22" spans="1:24" s="3" customFormat="1">
      <c r="C22" s="3" t="s">
        <v>380</v>
      </c>
      <c r="D22" s="3" t="s">
        <v>391</v>
      </c>
      <c r="E22" s="3" t="s">
        <v>382</v>
      </c>
      <c r="F22" s="3">
        <v>66.290000000000006</v>
      </c>
      <c r="G22" s="3">
        <v>0.4</v>
      </c>
      <c r="H22" s="3">
        <v>41.29</v>
      </c>
      <c r="J22" s="3">
        <v>18.5</v>
      </c>
      <c r="K22" s="3">
        <v>4.29</v>
      </c>
      <c r="M22" s="3">
        <f>82.79+30</f>
        <v>112.79</v>
      </c>
      <c r="N22" s="3">
        <f>M22/(1.23*1.48)</f>
        <v>61.958910129641836</v>
      </c>
      <c r="O22" s="3">
        <f>82.79+30</f>
        <v>112.79</v>
      </c>
    </row>
    <row r="23" spans="1:24">
      <c r="C23" t="s">
        <v>397</v>
      </c>
      <c r="D23">
        <f>0.88*2+1.28*2</f>
        <v>4.32</v>
      </c>
      <c r="J23" s="3">
        <f>AVERAGE(J21:J22)</f>
        <v>14.895</v>
      </c>
      <c r="N23">
        <f>AVERAGE(N21:N22)</f>
        <v>69.779455064820922</v>
      </c>
      <c r="O23" s="82">
        <f>AVERAGE(O21:O22)</f>
        <v>111.22499999999999</v>
      </c>
      <c r="Q23" s="3">
        <f>O23/(1.23*1.48)</f>
        <v>61.099208965062623</v>
      </c>
    </row>
    <row r="24" spans="1:24">
      <c r="C24" t="s">
        <v>397</v>
      </c>
      <c r="D24">
        <f>1.23*2+1.48*2</f>
        <v>5.42</v>
      </c>
    </row>
    <row r="25" spans="1:24" ht="15.75" thickBot="1">
      <c r="C25" t="s">
        <v>398</v>
      </c>
      <c r="D25">
        <f>D24/D23</f>
        <v>1.2546296296296295</v>
      </c>
    </row>
    <row r="26" spans="1:24">
      <c r="O26" s="83"/>
      <c r="P26" s="84"/>
      <c r="Q26" s="84"/>
      <c r="R26" s="84" t="s">
        <v>408</v>
      </c>
      <c r="S26" s="84" t="s">
        <v>408</v>
      </c>
      <c r="T26" s="84"/>
      <c r="U26" s="84"/>
      <c r="V26" s="84"/>
      <c r="W26" s="84"/>
      <c r="X26" s="85"/>
    </row>
    <row r="27" spans="1:24">
      <c r="O27" s="41"/>
      <c r="P27" s="9" t="s">
        <v>404</v>
      </c>
      <c r="Q27" s="9" t="s">
        <v>406</v>
      </c>
      <c r="R27" s="9" t="s">
        <v>409</v>
      </c>
      <c r="S27" s="9" t="s">
        <v>410</v>
      </c>
      <c r="T27" s="9" t="s">
        <v>411</v>
      </c>
      <c r="U27" s="9" t="s">
        <v>412</v>
      </c>
      <c r="V27" s="9"/>
      <c r="W27" s="91" t="s">
        <v>413</v>
      </c>
      <c r="X27" s="42"/>
    </row>
    <row r="28" spans="1:24">
      <c r="A28" t="s">
        <v>399</v>
      </c>
      <c r="G28">
        <f>G10</f>
        <v>21.344000000000001</v>
      </c>
      <c r="O28" s="41" t="s">
        <v>383</v>
      </c>
      <c r="P28" s="9">
        <f>G28*6.83</f>
        <v>145.77952000000002</v>
      </c>
      <c r="Q28" s="9">
        <f>1.13*1.38*48.8</f>
        <v>76.098719999999986</v>
      </c>
      <c r="R28" s="9">
        <f>P28+Q28</f>
        <v>221.87824000000001</v>
      </c>
      <c r="S28" s="86">
        <f>M12</f>
        <v>193.83333333333334</v>
      </c>
      <c r="T28" s="86">
        <f>AVERAGE(R28,S28)</f>
        <v>207.85578666666669</v>
      </c>
      <c r="U28" s="87">
        <f>T28/T30</f>
        <v>2.0309382037947667</v>
      </c>
      <c r="V28" s="9"/>
      <c r="W28" s="92">
        <f>T28/(1.23*1.48)</f>
        <v>114.18138138138139</v>
      </c>
      <c r="X28" s="42"/>
    </row>
    <row r="29" spans="1:24">
      <c r="A29" t="s">
        <v>400</v>
      </c>
      <c r="I29">
        <f>I18</f>
        <v>28.094999999999999</v>
      </c>
      <c r="K29">
        <f>K18</f>
        <v>20.950000000000003</v>
      </c>
      <c r="O29" s="41" t="s">
        <v>100</v>
      </c>
      <c r="P29" s="9">
        <f>I29*3.3+K29*1.27</f>
        <v>119.32</v>
      </c>
      <c r="Q29" s="9">
        <f>1.13*1.38*48.8</f>
        <v>76.098719999999986</v>
      </c>
      <c r="R29" s="9">
        <f>P29+Q29</f>
        <v>195.41871999999998</v>
      </c>
      <c r="S29" s="86">
        <f>M18</f>
        <v>160.66666666666666</v>
      </c>
      <c r="T29" s="86">
        <f>AVERAGE(R29,S29)</f>
        <v>178.04269333333332</v>
      </c>
      <c r="U29" s="87">
        <f>T29/T30</f>
        <v>1.7396374361088227</v>
      </c>
      <c r="V29" s="9"/>
      <c r="W29" s="92">
        <f>T29/(1.23*1.48)</f>
        <v>97.804160257818779</v>
      </c>
      <c r="X29" s="42"/>
    </row>
    <row r="30" spans="1:24">
      <c r="A30" t="s">
        <v>401</v>
      </c>
      <c r="G30">
        <v>0.4</v>
      </c>
      <c r="J30">
        <f>J22</f>
        <v>18.5</v>
      </c>
      <c r="K30">
        <v>4.29</v>
      </c>
      <c r="O30" s="41" t="s">
        <v>116</v>
      </c>
      <c r="P30" s="9">
        <f>(J30*0.306+G30*6.83+K30*1.27)*D25</f>
        <v>17.365705092592592</v>
      </c>
      <c r="Q30" s="9">
        <f>1.13*1.38*48.8</f>
        <v>76.098719999999986</v>
      </c>
      <c r="R30" s="9">
        <f>P30+Q30</f>
        <v>93.464425092592577</v>
      </c>
      <c r="S30" s="9">
        <f>O23</f>
        <v>111.22499999999999</v>
      </c>
      <c r="T30" s="86">
        <f>AVERAGE(R30,S30)</f>
        <v>102.34471254629628</v>
      </c>
      <c r="U30" s="87">
        <f>T30/T30</f>
        <v>1</v>
      </c>
      <c r="V30" s="9"/>
      <c r="W30" s="92">
        <f>T30/(1.23*1.48)</f>
        <v>56.221002277684178</v>
      </c>
      <c r="X30" s="42"/>
    </row>
    <row r="31" spans="1:24" ht="15.75" thickBot="1">
      <c r="O31" s="88"/>
      <c r="P31" s="89"/>
      <c r="Q31" s="89"/>
      <c r="R31" s="89"/>
      <c r="S31" s="89"/>
      <c r="T31" s="89"/>
      <c r="U31" s="89"/>
      <c r="V31" s="89"/>
      <c r="W31" s="89"/>
      <c r="X31" s="90"/>
    </row>
    <row r="32" spans="1:24">
      <c r="A32" t="s">
        <v>402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Hoja12"/>
  <dimension ref="B2:M36"/>
  <sheetViews>
    <sheetView workbookViewId="0">
      <pane ySplit="3" topLeftCell="A19" activePane="bottomLeft" state="frozen"/>
      <selection activeCell="B1" sqref="B1"/>
      <selection pane="bottomLeft" activeCell="H39" sqref="H39"/>
    </sheetView>
  </sheetViews>
  <sheetFormatPr baseColWidth="10" defaultColWidth="10.7109375" defaultRowHeight="15"/>
  <cols>
    <col min="2" max="2" width="18.140625" customWidth="1"/>
    <col min="3" max="3" width="24.28515625" customWidth="1"/>
    <col min="8" max="8" width="18.85546875" customWidth="1"/>
    <col min="9" max="9" width="9" customWidth="1"/>
  </cols>
  <sheetData>
    <row r="2" spans="2:12">
      <c r="D2" t="s">
        <v>191</v>
      </c>
      <c r="E2" t="s">
        <v>52</v>
      </c>
      <c r="F2" t="s">
        <v>53</v>
      </c>
      <c r="H2" t="s">
        <v>54</v>
      </c>
      <c r="I2" t="s">
        <v>53</v>
      </c>
      <c r="J2" s="3" t="s">
        <v>23</v>
      </c>
    </row>
    <row r="3" spans="2:12" ht="30">
      <c r="B3" s="75" t="s">
        <v>272</v>
      </c>
      <c r="C3" s="1" t="s">
        <v>273</v>
      </c>
      <c r="D3" t="s">
        <v>51</v>
      </c>
      <c r="E3" t="s">
        <v>55</v>
      </c>
      <c r="G3" t="s">
        <v>15</v>
      </c>
      <c r="J3" s="3" t="s">
        <v>61</v>
      </c>
    </row>
    <row r="5" spans="2:12">
      <c r="B5" t="s">
        <v>130</v>
      </c>
      <c r="C5" t="s">
        <v>347</v>
      </c>
      <c r="F5" t="s">
        <v>65</v>
      </c>
      <c r="G5">
        <f>'Cálculos fachada'!F108</f>
        <v>1.01</v>
      </c>
      <c r="H5">
        <v>2.54</v>
      </c>
      <c r="J5" s="2">
        <f>G5*H5</f>
        <v>2.5653999999999999</v>
      </c>
      <c r="L5" t="s">
        <v>326</v>
      </c>
    </row>
    <row r="6" spans="2:12">
      <c r="C6" t="s">
        <v>130</v>
      </c>
      <c r="D6">
        <v>0.02</v>
      </c>
      <c r="E6">
        <v>700</v>
      </c>
      <c r="F6" t="s">
        <v>82</v>
      </c>
      <c r="G6">
        <f>D6*E6</f>
        <v>14</v>
      </c>
      <c r="H6">
        <v>0.30599999999999999</v>
      </c>
      <c r="I6" t="s">
        <v>58</v>
      </c>
      <c r="J6" s="2">
        <f>G6*H6</f>
        <v>4.2839999999999998</v>
      </c>
    </row>
    <row r="7" spans="2:12">
      <c r="C7" t="s">
        <v>274</v>
      </c>
      <c r="G7">
        <f>'Cálculos fachada'!D93</f>
        <v>7</v>
      </c>
      <c r="H7">
        <v>0.26300000000000001</v>
      </c>
      <c r="I7" t="s">
        <v>58</v>
      </c>
      <c r="J7">
        <f>G7*H7</f>
        <v>1.8410000000000002</v>
      </c>
    </row>
    <row r="8" spans="2:12">
      <c r="C8" t="s">
        <v>344</v>
      </c>
      <c r="G8">
        <f>'Cálculos fachada'!D103</f>
        <v>9.2920000000000016E-2</v>
      </c>
      <c r="H8">
        <v>2.54</v>
      </c>
      <c r="I8" t="s">
        <v>58</v>
      </c>
      <c r="J8">
        <f>G8*H8</f>
        <v>0.23601680000000005</v>
      </c>
    </row>
    <row r="9" spans="2:12">
      <c r="D9" t="s">
        <v>154</v>
      </c>
      <c r="J9" s="7">
        <f>SUM(J5:J8)</f>
        <v>8.9264168000000002</v>
      </c>
    </row>
    <row r="12" spans="2:12">
      <c r="B12" t="s">
        <v>118</v>
      </c>
      <c r="C12" t="s">
        <v>118</v>
      </c>
      <c r="D12">
        <v>0.01</v>
      </c>
      <c r="J12">
        <v>24.8</v>
      </c>
      <c r="L12" t="s">
        <v>269</v>
      </c>
    </row>
    <row r="13" spans="2:12">
      <c r="C13" t="s">
        <v>277</v>
      </c>
      <c r="G13">
        <f>'Cálculos fachada'!K47</f>
        <v>2</v>
      </c>
      <c r="H13">
        <v>6.83</v>
      </c>
      <c r="J13">
        <f>G13*H13</f>
        <v>13.66</v>
      </c>
      <c r="L13" t="s">
        <v>268</v>
      </c>
    </row>
    <row r="14" spans="2:12">
      <c r="J14" s="3">
        <f>SUM(J12:J13)</f>
        <v>38.46</v>
      </c>
    </row>
    <row r="17" spans="2:13">
      <c r="B17" t="s">
        <v>275</v>
      </c>
      <c r="C17" t="s">
        <v>276</v>
      </c>
      <c r="D17">
        <v>1.95E-2</v>
      </c>
      <c r="E17" s="76">
        <f>'Cálculos fachada'!F10</f>
        <v>1691.7273398754878</v>
      </c>
      <c r="F17" t="s">
        <v>268</v>
      </c>
      <c r="G17" s="2">
        <f>D17*E17</f>
        <v>32.98868312757201</v>
      </c>
      <c r="H17">
        <v>0.78</v>
      </c>
      <c r="I17" t="s">
        <v>58</v>
      </c>
      <c r="J17" s="2">
        <f>H17*G17</f>
        <v>25.731172839506169</v>
      </c>
    </row>
    <row r="18" spans="2:13">
      <c r="C18" t="s">
        <v>277</v>
      </c>
      <c r="G18" s="76">
        <f>'Cálculos fachada'!G34</f>
        <v>4.9737419354838712</v>
      </c>
      <c r="H18">
        <v>6.83</v>
      </c>
      <c r="J18" s="2">
        <f>H18*G18</f>
        <v>33.970657419354843</v>
      </c>
    </row>
    <row r="19" spans="2:13">
      <c r="J19" s="7">
        <f>SUM(J17:J18)</f>
        <v>59.701830258861008</v>
      </c>
    </row>
    <row r="23" spans="2:13">
      <c r="B23" t="s">
        <v>278</v>
      </c>
      <c r="C23" t="s">
        <v>119</v>
      </c>
      <c r="D23">
        <v>0.03</v>
      </c>
      <c r="E23">
        <v>2600</v>
      </c>
      <c r="F23" t="s">
        <v>57</v>
      </c>
      <c r="G23">
        <f>D23*E23</f>
        <v>78</v>
      </c>
      <c r="H23">
        <v>0.7</v>
      </c>
      <c r="I23" t="s">
        <v>58</v>
      </c>
      <c r="J23">
        <f>G23*H23</f>
        <v>54.599999999999994</v>
      </c>
    </row>
    <row r="24" spans="2:13">
      <c r="C24" t="s">
        <v>279</v>
      </c>
      <c r="G24">
        <v>2</v>
      </c>
      <c r="H24">
        <v>1.27</v>
      </c>
      <c r="I24" t="s">
        <v>58</v>
      </c>
      <c r="J24">
        <f>G24*H24</f>
        <v>2.54</v>
      </c>
    </row>
    <row r="25" spans="2:13">
      <c r="J25" s="3">
        <f>SUM(J23:J24)</f>
        <v>57.139999999999993</v>
      </c>
    </row>
    <row r="29" spans="2:13">
      <c r="B29" t="s">
        <v>280</v>
      </c>
      <c r="C29" t="s">
        <v>281</v>
      </c>
      <c r="J29">
        <v>21.2</v>
      </c>
    </row>
    <row r="30" spans="2:13">
      <c r="C30" t="s">
        <v>282</v>
      </c>
      <c r="G30">
        <f>'Cálculos fachada'!K47</f>
        <v>2</v>
      </c>
      <c r="H30">
        <f>H13</f>
        <v>6.83</v>
      </c>
      <c r="J30">
        <f>G30*H30</f>
        <v>13.66</v>
      </c>
      <c r="M30" t="s">
        <v>366</v>
      </c>
    </row>
    <row r="31" spans="2:13">
      <c r="J31" s="3">
        <f>SUM(J29:J30)</f>
        <v>34.86</v>
      </c>
    </row>
    <row r="33" spans="2:10">
      <c r="B33" t="s">
        <v>470</v>
      </c>
      <c r="C33" t="s">
        <v>276</v>
      </c>
      <c r="D33">
        <v>0.01</v>
      </c>
      <c r="E33" s="76">
        <v>2400</v>
      </c>
      <c r="F33" t="s">
        <v>488</v>
      </c>
      <c r="G33" s="2">
        <f>D33*E33</f>
        <v>24</v>
      </c>
      <c r="H33">
        <v>0.78</v>
      </c>
      <c r="I33" t="s">
        <v>58</v>
      </c>
      <c r="J33" s="2">
        <f>H33*G33</f>
        <v>18.72</v>
      </c>
    </row>
    <row r="34" spans="2:10">
      <c r="C34" t="s">
        <v>277</v>
      </c>
      <c r="G34" s="76">
        <v>3</v>
      </c>
      <c r="H34">
        <v>6.83</v>
      </c>
      <c r="J34" s="2">
        <f>H34*G34</f>
        <v>20.490000000000002</v>
      </c>
    </row>
    <row r="35" spans="2:10">
      <c r="C35" t="s">
        <v>489</v>
      </c>
      <c r="G35" s="76">
        <f>'Cálculos fachada'!J127</f>
        <v>9.1428571428571428E-2</v>
      </c>
      <c r="H35">
        <v>1.27</v>
      </c>
      <c r="J35" s="2">
        <f>G35*H35</f>
        <v>0.11611428571428571</v>
      </c>
    </row>
    <row r="36" spans="2:10">
      <c r="J36" s="7">
        <f>SUM(J33:J34)</f>
        <v>39.21</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Hoja13"/>
  <dimension ref="B5:K138"/>
  <sheetViews>
    <sheetView topLeftCell="A118" workbookViewId="0">
      <selection activeCell="B139" sqref="B139"/>
    </sheetView>
  </sheetViews>
  <sheetFormatPr baseColWidth="10" defaultColWidth="10.7109375" defaultRowHeight="15"/>
  <cols>
    <col min="2" max="2" width="18.28515625" customWidth="1"/>
  </cols>
  <sheetData>
    <row r="5" spans="2:6">
      <c r="B5" s="3" t="s">
        <v>283</v>
      </c>
      <c r="C5" s="3" t="s">
        <v>284</v>
      </c>
      <c r="F5" t="s">
        <v>52</v>
      </c>
    </row>
    <row r="6" spans="2:6">
      <c r="B6" t="s">
        <v>285</v>
      </c>
      <c r="C6">
        <v>600</v>
      </c>
      <c r="D6">
        <v>405</v>
      </c>
      <c r="E6">
        <v>19.5</v>
      </c>
      <c r="F6">
        <f>8/((C6/1000)*(D6/1000)*(E6/1000))</f>
        <v>1688.2979845942809</v>
      </c>
    </row>
    <row r="7" spans="2:6">
      <c r="C7">
        <v>800</v>
      </c>
      <c r="D7">
        <v>405</v>
      </c>
      <c r="E7">
        <v>19.5</v>
      </c>
      <c r="F7">
        <f>10.7/((C7/1000)*(D7/1000)*(E7/1000))</f>
        <v>1693.5739157961375</v>
      </c>
    </row>
    <row r="8" spans="2:6">
      <c r="C8">
        <v>900</v>
      </c>
      <c r="D8">
        <v>405</v>
      </c>
      <c r="E8">
        <v>19.5</v>
      </c>
      <c r="F8">
        <f>12/((C8/1000)*(D8/1000)*(E8/1000))</f>
        <v>1688.2979845942807</v>
      </c>
    </row>
    <row r="9" spans="2:6">
      <c r="C9">
        <v>1000</v>
      </c>
      <c r="D9">
        <v>405</v>
      </c>
      <c r="E9">
        <v>19.5</v>
      </c>
      <c r="F9">
        <f>13.4/((C9/1000)*(D9/1000)*(E9/1000))</f>
        <v>1696.7394745172523</v>
      </c>
    </row>
    <row r="10" spans="2:6">
      <c r="E10" t="s">
        <v>286</v>
      </c>
      <c r="F10" s="76">
        <f>AVERAGE(F6:F9)</f>
        <v>1691.7273398754878</v>
      </c>
    </row>
    <row r="13" spans="2:6">
      <c r="C13" t="s">
        <v>287</v>
      </c>
      <c r="D13" t="s">
        <v>191</v>
      </c>
      <c r="E13" t="s">
        <v>52</v>
      </c>
      <c r="F13" t="s">
        <v>288</v>
      </c>
    </row>
    <row r="14" spans="2:6">
      <c r="C14" t="s">
        <v>95</v>
      </c>
      <c r="D14" t="s">
        <v>95</v>
      </c>
      <c r="E14" t="s">
        <v>289</v>
      </c>
      <c r="F14" t="s">
        <v>290</v>
      </c>
    </row>
    <row r="15" spans="2:6">
      <c r="B15" t="s">
        <v>291</v>
      </c>
      <c r="C15">
        <v>321</v>
      </c>
      <c r="D15">
        <v>3</v>
      </c>
      <c r="E15">
        <v>2.7</v>
      </c>
      <c r="F15">
        <f>C15/10*D15/10*E15</f>
        <v>26.001000000000005</v>
      </c>
    </row>
    <row r="16" spans="2:6">
      <c r="C16">
        <v>381</v>
      </c>
      <c r="D16">
        <v>3</v>
      </c>
      <c r="E16">
        <v>2.7</v>
      </c>
      <c r="F16">
        <f>C16/10*D16/10*E16</f>
        <v>30.861000000000008</v>
      </c>
    </row>
    <row r="17" spans="2:7">
      <c r="C17">
        <v>441</v>
      </c>
      <c r="D17">
        <v>3</v>
      </c>
      <c r="E17">
        <v>2.7</v>
      </c>
      <c r="F17">
        <f>C17/10*D17/10*E17</f>
        <v>35.721000000000004</v>
      </c>
    </row>
    <row r="18" spans="2:7">
      <c r="C18">
        <v>501</v>
      </c>
      <c r="D18">
        <v>3</v>
      </c>
      <c r="E18">
        <v>2.7</v>
      </c>
      <c r="F18">
        <f>C18/10*D18/10*E18</f>
        <v>40.581000000000003</v>
      </c>
    </row>
    <row r="19" spans="2:7">
      <c r="E19" t="s">
        <v>286</v>
      </c>
      <c r="F19">
        <f>AVERAGE(F15:F18)</f>
        <v>33.291000000000004</v>
      </c>
    </row>
    <row r="20" spans="2:7">
      <c r="E20" s="77">
        <v>0.05</v>
      </c>
      <c r="F20" s="76">
        <f>F19*1.05</f>
        <v>34.955550000000002</v>
      </c>
    </row>
    <row r="22" spans="2:7">
      <c r="B22" t="s">
        <v>292</v>
      </c>
      <c r="C22">
        <v>0.80300000000000005</v>
      </c>
      <c r="D22" t="s">
        <v>293</v>
      </c>
      <c r="E22" t="s">
        <v>294</v>
      </c>
      <c r="G22" t="s">
        <v>295</v>
      </c>
    </row>
    <row r="23" spans="2:7">
      <c r="B23" t="s">
        <v>296</v>
      </c>
      <c r="C23">
        <v>1.27</v>
      </c>
      <c r="D23" t="s">
        <v>293</v>
      </c>
      <c r="E23" t="s">
        <v>297</v>
      </c>
      <c r="G23" t="s">
        <v>298</v>
      </c>
    </row>
    <row r="24" spans="2:7">
      <c r="B24" t="s">
        <v>299</v>
      </c>
      <c r="C24">
        <v>0.91300000000000003</v>
      </c>
      <c r="D24" t="s">
        <v>293</v>
      </c>
      <c r="E24" t="s">
        <v>300</v>
      </c>
      <c r="G24" t="s">
        <v>301</v>
      </c>
    </row>
    <row r="26" spans="2:7">
      <c r="B26" t="s">
        <v>302</v>
      </c>
    </row>
    <row r="27" spans="2:7">
      <c r="C27" t="s">
        <v>303</v>
      </c>
      <c r="D27" t="s">
        <v>304</v>
      </c>
      <c r="E27" t="s">
        <v>293</v>
      </c>
      <c r="F27" t="s">
        <v>305</v>
      </c>
      <c r="G27" t="s">
        <v>306</v>
      </c>
    </row>
    <row r="28" spans="2:7">
      <c r="B28" t="s">
        <v>291</v>
      </c>
      <c r="C28">
        <v>4</v>
      </c>
      <c r="D28">
        <v>3.5000000000000003E-2</v>
      </c>
      <c r="G28">
        <f>C28*D28</f>
        <v>0.14000000000000001</v>
      </c>
    </row>
    <row r="29" spans="2:7">
      <c r="B29" t="s">
        <v>307</v>
      </c>
      <c r="C29">
        <v>4</v>
      </c>
      <c r="D29">
        <v>3.5000000000000003E-2</v>
      </c>
      <c r="G29">
        <f>C29*D29</f>
        <v>0.14000000000000001</v>
      </c>
    </row>
    <row r="30" spans="2:7">
      <c r="B30" t="s">
        <v>308</v>
      </c>
      <c r="C30">
        <v>2</v>
      </c>
      <c r="E30">
        <v>0.80300000000000005</v>
      </c>
      <c r="F30">
        <v>3.1</v>
      </c>
      <c r="G30">
        <f>C30*E30*F30</f>
        <v>4.9786000000000001</v>
      </c>
    </row>
    <row r="31" spans="2:7">
      <c r="B31" t="s">
        <v>296</v>
      </c>
      <c r="C31">
        <v>8</v>
      </c>
      <c r="E31">
        <v>1.27</v>
      </c>
      <c r="F31">
        <v>1</v>
      </c>
      <c r="G31">
        <f>C31*E31*F31</f>
        <v>10.16</v>
      </c>
    </row>
    <row r="32" spans="2:7">
      <c r="F32" t="s">
        <v>309</v>
      </c>
      <c r="G32">
        <f>SUM(G28:G31)</f>
        <v>15.418600000000001</v>
      </c>
    </row>
    <row r="34" spans="2:11">
      <c r="B34" t="s">
        <v>310</v>
      </c>
      <c r="G34" s="76">
        <f>G32/3.1</f>
        <v>4.9737419354838712</v>
      </c>
      <c r="H34" s="76"/>
      <c r="I34" t="s">
        <v>15</v>
      </c>
    </row>
    <row r="38" spans="2:11">
      <c r="I38" t="s">
        <v>316</v>
      </c>
    </row>
    <row r="39" spans="2:11">
      <c r="B39" s="3" t="s">
        <v>311</v>
      </c>
      <c r="E39" s="3" t="s">
        <v>335</v>
      </c>
      <c r="G39" t="s">
        <v>313</v>
      </c>
      <c r="I39" t="s">
        <v>290</v>
      </c>
      <c r="J39" t="s">
        <v>56</v>
      </c>
    </row>
    <row r="40" spans="2:11">
      <c r="B40" t="s">
        <v>312</v>
      </c>
      <c r="C40">
        <v>2</v>
      </c>
      <c r="D40">
        <v>15</v>
      </c>
      <c r="E40">
        <v>2</v>
      </c>
      <c r="F40">
        <v>0.2</v>
      </c>
      <c r="G40">
        <f>D40*E40*F40*C40</f>
        <v>12</v>
      </c>
      <c r="H40" t="s">
        <v>314</v>
      </c>
      <c r="I40">
        <f>G40*2.7</f>
        <v>32.400000000000006</v>
      </c>
      <c r="J40">
        <f>I40/1000</f>
        <v>3.2400000000000005E-2</v>
      </c>
    </row>
    <row r="41" spans="2:11">
      <c r="C41">
        <v>2</v>
      </c>
      <c r="D41">
        <v>14</v>
      </c>
      <c r="E41">
        <v>15</v>
      </c>
      <c r="F41">
        <v>0.2</v>
      </c>
      <c r="G41">
        <f>D41*E41*F41*C41</f>
        <v>84</v>
      </c>
      <c r="H41" t="s">
        <v>314</v>
      </c>
      <c r="I41">
        <f>G41*2.7</f>
        <v>226.8</v>
      </c>
      <c r="J41">
        <f>I41/1000</f>
        <v>0.2268</v>
      </c>
    </row>
    <row r="42" spans="2:11">
      <c r="J42">
        <f>J40+J41</f>
        <v>0.25919999999999999</v>
      </c>
      <c r="K42" t="s">
        <v>56</v>
      </c>
    </row>
    <row r="43" spans="2:11">
      <c r="B43" t="s">
        <v>315</v>
      </c>
    </row>
    <row r="44" spans="2:11">
      <c r="D44" t="s">
        <v>287</v>
      </c>
    </row>
    <row r="45" spans="2:11">
      <c r="B45" t="s">
        <v>318</v>
      </c>
      <c r="C45">
        <v>2</v>
      </c>
      <c r="D45">
        <v>320</v>
      </c>
      <c r="E45" t="s">
        <v>317</v>
      </c>
      <c r="G45">
        <f>D45*C45*1000/1000</f>
        <v>640</v>
      </c>
      <c r="H45" t="s">
        <v>314</v>
      </c>
      <c r="I45">
        <f>G45*2.7</f>
        <v>1728</v>
      </c>
      <c r="J45">
        <f>I45/1000</f>
        <v>1.728</v>
      </c>
    </row>
    <row r="47" spans="2:11">
      <c r="F47" t="s">
        <v>23</v>
      </c>
      <c r="J47">
        <f>J45+J42</f>
        <v>1.9872000000000001</v>
      </c>
      <c r="K47">
        <v>2</v>
      </c>
    </row>
    <row r="73" spans="2:7">
      <c r="B73" t="s">
        <v>319</v>
      </c>
    </row>
    <row r="74" spans="2:7">
      <c r="B74" t="s">
        <v>320</v>
      </c>
    </row>
    <row r="75" spans="2:7">
      <c r="B75" t="s">
        <v>321</v>
      </c>
      <c r="D75">
        <v>16</v>
      </c>
      <c r="G75">
        <f>5/10</f>
        <v>0.5</v>
      </c>
    </row>
    <row r="76" spans="2:7">
      <c r="B76" t="s">
        <v>322</v>
      </c>
      <c r="D76">
        <v>10</v>
      </c>
      <c r="E76" t="s">
        <v>95</v>
      </c>
    </row>
    <row r="77" spans="2:7">
      <c r="C77" t="s">
        <v>323</v>
      </c>
      <c r="D77">
        <v>200</v>
      </c>
      <c r="E77" t="s">
        <v>95</v>
      </c>
    </row>
    <row r="78" spans="2:7">
      <c r="C78" t="s">
        <v>324</v>
      </c>
      <c r="D78">
        <f>3.1416*0.5*0.5*20</f>
        <v>15.708</v>
      </c>
      <c r="E78" t="s">
        <v>314</v>
      </c>
    </row>
    <row r="79" spans="2:7">
      <c r="C79" t="s">
        <v>325</v>
      </c>
      <c r="D79">
        <v>7.85</v>
      </c>
      <c r="E79" t="s">
        <v>289</v>
      </c>
    </row>
    <row r="80" spans="2:7">
      <c r="C80" t="s">
        <v>316</v>
      </c>
      <c r="D80">
        <f>D79*D78</f>
        <v>123.3078</v>
      </c>
      <c r="E80" t="s">
        <v>290</v>
      </c>
    </row>
    <row r="81" spans="2:7">
      <c r="C81" t="s">
        <v>316</v>
      </c>
      <c r="D81">
        <f>D80/1000</f>
        <v>0.1233078</v>
      </c>
      <c r="E81" t="s">
        <v>56</v>
      </c>
    </row>
    <row r="82" spans="2:7">
      <c r="C82" t="s">
        <v>23</v>
      </c>
      <c r="D82">
        <f>D75*D81</f>
        <v>1.9729247999999999</v>
      </c>
      <c r="E82" t="s">
        <v>56</v>
      </c>
      <c r="F82">
        <v>2</v>
      </c>
    </row>
    <row r="86" spans="2:7">
      <c r="B86" t="s">
        <v>327</v>
      </c>
      <c r="D86" t="s">
        <v>328</v>
      </c>
      <c r="E86">
        <v>22</v>
      </c>
      <c r="F86">
        <v>200</v>
      </c>
    </row>
    <row r="87" spans="2:7">
      <c r="B87" t="s">
        <v>329</v>
      </c>
      <c r="F87" t="s">
        <v>330</v>
      </c>
    </row>
    <row r="88" spans="2:7">
      <c r="C88">
        <v>0.04</v>
      </c>
      <c r="D88">
        <v>0.04</v>
      </c>
      <c r="E88">
        <v>2</v>
      </c>
      <c r="F88">
        <f>C88*D88*E88</f>
        <v>3.2000000000000002E-3</v>
      </c>
      <c r="G88" t="s">
        <v>78</v>
      </c>
    </row>
    <row r="89" spans="2:7">
      <c r="B89" t="s">
        <v>331</v>
      </c>
    </row>
    <row r="90" spans="2:7">
      <c r="C90">
        <v>0.1</v>
      </c>
      <c r="D90">
        <v>0.05</v>
      </c>
      <c r="E90">
        <v>2</v>
      </c>
      <c r="F90">
        <f>C90*D90*E90</f>
        <v>1.0000000000000002E-2</v>
      </c>
      <c r="G90" t="s">
        <v>78</v>
      </c>
    </row>
    <row r="91" spans="2:7">
      <c r="D91" t="s">
        <v>23</v>
      </c>
      <c r="F91">
        <f>F88+F90</f>
        <v>1.3200000000000002E-2</v>
      </c>
      <c r="G91" t="s">
        <v>78</v>
      </c>
    </row>
    <row r="92" spans="2:7">
      <c r="B92" t="s">
        <v>52</v>
      </c>
      <c r="C92">
        <v>500</v>
      </c>
      <c r="D92" t="s">
        <v>81</v>
      </c>
    </row>
    <row r="93" spans="2:7">
      <c r="B93" t="s">
        <v>332</v>
      </c>
      <c r="C93">
        <f>C92*F91</f>
        <v>6.6000000000000005</v>
      </c>
      <c r="D93">
        <v>7</v>
      </c>
    </row>
    <row r="95" spans="2:7">
      <c r="B95" t="s">
        <v>336</v>
      </c>
    </row>
    <row r="96" spans="2:7">
      <c r="B96" t="s">
        <v>337</v>
      </c>
      <c r="C96" t="s">
        <v>340</v>
      </c>
    </row>
    <row r="97" spans="2:7">
      <c r="B97" t="s">
        <v>341</v>
      </c>
      <c r="D97" t="s">
        <v>338</v>
      </c>
      <c r="F97" t="s">
        <v>339</v>
      </c>
    </row>
    <row r="98" spans="2:7">
      <c r="B98" t="s">
        <v>325</v>
      </c>
      <c r="D98" t="s">
        <v>342</v>
      </c>
    </row>
    <row r="99" spans="2:7">
      <c r="B99" t="s">
        <v>343</v>
      </c>
      <c r="D99">
        <f>200*1.01</f>
        <v>202</v>
      </c>
      <c r="E99" t="s">
        <v>343</v>
      </c>
      <c r="F99">
        <f>D99/1000</f>
        <v>0.20200000000000001</v>
      </c>
      <c r="G99" t="s">
        <v>74</v>
      </c>
    </row>
    <row r="100" spans="2:7">
      <c r="B100" t="s">
        <v>345</v>
      </c>
      <c r="D100">
        <f>0.04*4*1</f>
        <v>0.16</v>
      </c>
    </row>
    <row r="101" spans="2:7">
      <c r="B101" t="s">
        <v>346</v>
      </c>
      <c r="D101">
        <f>(0.1*2+0.05*2)*1</f>
        <v>0.30000000000000004</v>
      </c>
    </row>
    <row r="102" spans="2:7">
      <c r="D102">
        <f>D100+D101</f>
        <v>0.46000000000000008</v>
      </c>
    </row>
    <row r="103" spans="2:7">
      <c r="B103" t="s">
        <v>10</v>
      </c>
      <c r="D103">
        <f>D102*F99</f>
        <v>9.2920000000000016E-2</v>
      </c>
      <c r="E103" t="s">
        <v>15</v>
      </c>
    </row>
    <row r="105" spans="2:7">
      <c r="B105" t="s">
        <v>348</v>
      </c>
      <c r="D105" t="s">
        <v>351</v>
      </c>
      <c r="F105" t="s">
        <v>352</v>
      </c>
    </row>
    <row r="106" spans="2:7">
      <c r="B106" t="s">
        <v>349</v>
      </c>
      <c r="D106">
        <v>2.5</v>
      </c>
      <c r="E106" t="s">
        <v>87</v>
      </c>
      <c r="F106">
        <f>D106*F99</f>
        <v>0.505</v>
      </c>
    </row>
    <row r="107" spans="2:7">
      <c r="B107" t="s">
        <v>350</v>
      </c>
      <c r="D107">
        <v>2.5</v>
      </c>
      <c r="E107" t="s">
        <v>87</v>
      </c>
      <c r="F107">
        <f>D107*F99</f>
        <v>0.505</v>
      </c>
    </row>
    <row r="108" spans="2:7">
      <c r="F108">
        <f>SUM(F106:F107)</f>
        <v>1.01</v>
      </c>
    </row>
    <row r="110" spans="2:7">
      <c r="B110" t="s">
        <v>333</v>
      </c>
      <c r="D110" t="s">
        <v>334</v>
      </c>
    </row>
    <row r="115" spans="2:11">
      <c r="B115" t="s">
        <v>471</v>
      </c>
    </row>
    <row r="121" spans="2:11">
      <c r="B121" t="s">
        <v>472</v>
      </c>
      <c r="D121" t="s">
        <v>473</v>
      </c>
    </row>
    <row r="123" spans="2:11">
      <c r="B123" t="s">
        <v>474</v>
      </c>
      <c r="G123" t="s">
        <v>477</v>
      </c>
      <c r="I123" t="s">
        <v>15</v>
      </c>
    </row>
    <row r="124" spans="2:11">
      <c r="B124" t="s">
        <v>475</v>
      </c>
      <c r="C124" t="s">
        <v>476</v>
      </c>
      <c r="D124">
        <v>0.67900000000000005</v>
      </c>
      <c r="G124">
        <f>D124*3.5</f>
        <v>2.3765000000000001</v>
      </c>
      <c r="H124" t="s">
        <v>484</v>
      </c>
      <c r="I124">
        <f>G124/3.5</f>
        <v>0.67900000000000005</v>
      </c>
      <c r="J124">
        <f>I124+I125+I126</f>
        <v>1.3683714285714286</v>
      </c>
      <c r="K124" t="s">
        <v>485</v>
      </c>
    </row>
    <row r="125" spans="2:11">
      <c r="B125" t="s">
        <v>478</v>
      </c>
      <c r="C125" t="s">
        <v>476</v>
      </c>
      <c r="D125">
        <v>5.72</v>
      </c>
      <c r="G125">
        <f>4*0.1*D125</f>
        <v>2.2879999999999998</v>
      </c>
      <c r="H125" t="s">
        <v>484</v>
      </c>
      <c r="I125">
        <f>G125/3.5</f>
        <v>0.65371428571428569</v>
      </c>
    </row>
    <row r="126" spans="2:11">
      <c r="B126" t="s">
        <v>479</v>
      </c>
      <c r="C126" t="s">
        <v>476</v>
      </c>
      <c r="D126">
        <v>1.04</v>
      </c>
      <c r="G126">
        <f>D126*4*0.03</f>
        <v>0.12479999999999999</v>
      </c>
      <c r="H126" t="s">
        <v>484</v>
      </c>
      <c r="I126">
        <f>G126/3.5</f>
        <v>3.5657142857142853E-2</v>
      </c>
    </row>
    <row r="127" spans="2:11">
      <c r="B127" t="s">
        <v>480</v>
      </c>
      <c r="C127" t="s">
        <v>304</v>
      </c>
      <c r="D127">
        <v>0.01</v>
      </c>
      <c r="G127">
        <f>D127*32</f>
        <v>0.32</v>
      </c>
      <c r="H127" t="s">
        <v>483</v>
      </c>
      <c r="I127">
        <f>G127/3.5</f>
        <v>9.1428571428571428E-2</v>
      </c>
      <c r="J127">
        <f>I127</f>
        <v>9.1428571428571428E-2</v>
      </c>
      <c r="K127" t="s">
        <v>486</v>
      </c>
    </row>
    <row r="128" spans="2:11">
      <c r="B128" t="s">
        <v>481</v>
      </c>
    </row>
    <row r="129" spans="2:8">
      <c r="B129" t="s">
        <v>482</v>
      </c>
    </row>
    <row r="134" spans="2:8">
      <c r="H134" t="s">
        <v>487</v>
      </c>
    </row>
    <row r="138" spans="2:8">
      <c r="B138" t="s">
        <v>490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sheetPr codeName="Hoja14"/>
  <dimension ref="B3:H22"/>
  <sheetViews>
    <sheetView workbookViewId="0">
      <selection activeCell="P17" sqref="P17"/>
    </sheetView>
  </sheetViews>
  <sheetFormatPr baseColWidth="10" defaultColWidth="10.7109375" defaultRowHeight="15"/>
  <sheetData>
    <row r="3" spans="2:8">
      <c r="B3" t="s">
        <v>225</v>
      </c>
      <c r="H3" t="s">
        <v>245</v>
      </c>
    </row>
    <row r="4" spans="2:8">
      <c r="B4" t="s">
        <v>226</v>
      </c>
      <c r="H4" t="s">
        <v>246</v>
      </c>
    </row>
    <row r="5" spans="2:8">
      <c r="B5" t="s">
        <v>227</v>
      </c>
      <c r="H5" t="s">
        <v>247</v>
      </c>
    </row>
    <row r="6" spans="2:8">
      <c r="B6" t="s">
        <v>228</v>
      </c>
      <c r="H6" t="s">
        <v>248</v>
      </c>
    </row>
    <row r="7" spans="2:8">
      <c r="B7" t="s">
        <v>229</v>
      </c>
      <c r="H7" t="s">
        <v>249</v>
      </c>
    </row>
    <row r="8" spans="2:8">
      <c r="B8" t="s">
        <v>230</v>
      </c>
      <c r="H8" t="s">
        <v>264</v>
      </c>
    </row>
    <row r="9" spans="2:8">
      <c r="B9" t="s">
        <v>231</v>
      </c>
      <c r="H9" t="s">
        <v>250</v>
      </c>
    </row>
    <row r="10" spans="2:8">
      <c r="B10" t="s">
        <v>232</v>
      </c>
      <c r="H10" t="s">
        <v>251</v>
      </c>
    </row>
    <row r="11" spans="2:8">
      <c r="B11" t="s">
        <v>233</v>
      </c>
      <c r="H11" t="s">
        <v>252</v>
      </c>
    </row>
    <row r="12" spans="2:8">
      <c r="B12" t="s">
        <v>234</v>
      </c>
      <c r="H12" t="s">
        <v>253</v>
      </c>
    </row>
    <row r="13" spans="2:8">
      <c r="B13" t="s">
        <v>235</v>
      </c>
      <c r="H13" t="s">
        <v>254</v>
      </c>
    </row>
    <row r="14" spans="2:8">
      <c r="B14" t="s">
        <v>236</v>
      </c>
      <c r="H14" t="s">
        <v>255</v>
      </c>
    </row>
    <row r="15" spans="2:8">
      <c r="B15" t="s">
        <v>237</v>
      </c>
      <c r="H15" t="s">
        <v>256</v>
      </c>
    </row>
    <row r="16" spans="2:8">
      <c r="B16" t="s">
        <v>238</v>
      </c>
      <c r="H16" t="s">
        <v>257</v>
      </c>
    </row>
    <row r="17" spans="2:8">
      <c r="B17" t="s">
        <v>239</v>
      </c>
      <c r="H17" t="s">
        <v>258</v>
      </c>
    </row>
    <row r="18" spans="2:8">
      <c r="B18" t="s">
        <v>240</v>
      </c>
      <c r="H18" t="s">
        <v>259</v>
      </c>
    </row>
    <row r="19" spans="2:8">
      <c r="B19" t="s">
        <v>241</v>
      </c>
      <c r="H19" t="s">
        <v>260</v>
      </c>
    </row>
    <row r="20" spans="2:8">
      <c r="B20" t="s">
        <v>242</v>
      </c>
      <c r="H20" t="s">
        <v>261</v>
      </c>
    </row>
    <row r="21" spans="2:8">
      <c r="B21" t="s">
        <v>243</v>
      </c>
      <c r="H21" t="s">
        <v>262</v>
      </c>
    </row>
    <row r="22" spans="2:8">
      <c r="B22" t="s">
        <v>244</v>
      </c>
      <c r="H22" t="s">
        <v>263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Hoja2">
    <pageSetUpPr fitToPage="1"/>
  </sheetPr>
  <dimension ref="B2:K129"/>
  <sheetViews>
    <sheetView tabSelected="1" topLeftCell="A99" zoomScale="80" zoomScaleNormal="80" workbookViewId="0">
      <selection activeCell="F46" sqref="F46"/>
    </sheetView>
  </sheetViews>
  <sheetFormatPr baseColWidth="10" defaultColWidth="9.140625" defaultRowHeight="15"/>
  <cols>
    <col min="1" max="1" width="9.140625" style="193"/>
    <col min="2" max="2" width="3" style="193" bestFit="1" customWidth="1"/>
    <col min="3" max="3" width="44.140625" style="196" bestFit="1" customWidth="1"/>
    <col min="4" max="4" width="25" style="128" bestFit="1" customWidth="1"/>
    <col min="5" max="5" width="16" style="196" customWidth="1"/>
    <col min="6" max="6" width="44.85546875" style="196" bestFit="1" customWidth="1"/>
    <col min="7" max="7" width="16.28515625" style="196" customWidth="1"/>
    <col min="8" max="8" width="13.85546875" style="196" bestFit="1" customWidth="1"/>
    <col min="9" max="9" width="36" style="193" customWidth="1"/>
    <col min="10" max="10" width="16.28515625" style="193" bestFit="1" customWidth="1"/>
    <col min="11" max="11" width="3" style="193" bestFit="1" customWidth="1"/>
    <col min="12" max="16384" width="9.140625" style="193"/>
  </cols>
  <sheetData>
    <row r="2" spans="3:10" ht="21">
      <c r="C2" s="237" t="s">
        <v>559</v>
      </c>
      <c r="D2" s="238"/>
      <c r="E2" s="238"/>
      <c r="F2" s="238"/>
      <c r="G2" s="238"/>
      <c r="H2" s="238"/>
      <c r="I2" s="238"/>
      <c r="J2" s="239"/>
    </row>
    <row r="3" spans="3:10">
      <c r="C3" s="194"/>
      <c r="D3" s="195"/>
      <c r="F3" s="195" t="s">
        <v>585</v>
      </c>
      <c r="G3" s="195"/>
      <c r="H3" s="195"/>
      <c r="I3" s="195"/>
      <c r="J3" s="197"/>
    </row>
    <row r="4" spans="3:10">
      <c r="C4" s="198"/>
      <c r="D4" s="157"/>
      <c r="E4" s="195"/>
      <c r="F4" s="195"/>
      <c r="G4" s="195"/>
      <c r="H4" s="195"/>
      <c r="I4" s="195"/>
      <c r="J4" s="197"/>
    </row>
    <row r="5" spans="3:10">
      <c r="C5" s="198"/>
      <c r="D5" s="157"/>
      <c r="E5" s="195"/>
      <c r="F5" s="195"/>
      <c r="G5" s="195"/>
      <c r="H5" s="195"/>
      <c r="I5" s="195"/>
      <c r="J5" s="197"/>
    </row>
    <row r="6" spans="3:10">
      <c r="C6" s="198"/>
      <c r="D6" s="157"/>
      <c r="E6" s="195"/>
      <c r="F6" s="195"/>
      <c r="G6" s="195"/>
      <c r="H6" s="195"/>
      <c r="I6" s="195"/>
      <c r="J6" s="197"/>
    </row>
    <row r="7" spans="3:10">
      <c r="C7" s="198"/>
      <c r="D7" s="157"/>
      <c r="E7" s="195"/>
      <c r="F7" s="195"/>
      <c r="G7" s="195"/>
      <c r="H7" s="195"/>
      <c r="I7" s="195"/>
      <c r="J7" s="197"/>
    </row>
    <row r="8" spans="3:10">
      <c r="C8" s="198"/>
      <c r="D8" s="157"/>
      <c r="E8" s="195"/>
      <c r="F8" s="195"/>
      <c r="G8" s="195"/>
      <c r="H8" s="195"/>
      <c r="I8" s="195"/>
      <c r="J8" s="197"/>
    </row>
    <row r="9" spans="3:10">
      <c r="C9" s="199"/>
      <c r="D9" s="161"/>
      <c r="E9" s="200"/>
      <c r="F9" s="200"/>
      <c r="G9" s="200"/>
      <c r="H9" s="200"/>
      <c r="I9" s="200"/>
      <c r="J9" s="201"/>
    </row>
    <row r="11" spans="3:10" ht="15.75">
      <c r="C11" s="192" t="s">
        <v>120</v>
      </c>
      <c r="D11" s="164"/>
      <c r="E11" s="202"/>
      <c r="F11" s="202"/>
      <c r="G11" s="202"/>
      <c r="H11" s="202"/>
      <c r="I11" s="202"/>
      <c r="J11" s="202"/>
    </row>
    <row r="12" spans="3:10" ht="15.75" thickBot="1">
      <c r="C12" s="203" t="s">
        <v>546</v>
      </c>
      <c r="D12" s="130"/>
      <c r="E12" s="193"/>
      <c r="F12" s="193"/>
      <c r="G12" s="193"/>
      <c r="H12" s="193"/>
    </row>
    <row r="13" spans="3:10" ht="15.75" thickBot="1">
      <c r="C13" s="196" t="s">
        <v>104</v>
      </c>
      <c r="D13" s="245"/>
      <c r="E13" s="246"/>
      <c r="F13" s="246"/>
      <c r="G13" s="246"/>
      <c r="H13" s="246"/>
      <c r="I13" s="246"/>
      <c r="J13" s="247"/>
    </row>
    <row r="14" spans="3:10" ht="15.75" thickBot="1">
      <c r="C14" s="196" t="s">
        <v>105</v>
      </c>
      <c r="D14" s="245"/>
      <c r="E14" s="246"/>
      <c r="F14" s="246"/>
      <c r="G14" s="246"/>
      <c r="H14" s="246"/>
      <c r="I14" s="246"/>
      <c r="J14" s="247"/>
    </row>
    <row r="15" spans="3:10" ht="15.75" thickBot="1">
      <c r="C15" s="196" t="s">
        <v>172</v>
      </c>
      <c r="D15" s="245"/>
      <c r="E15" s="246"/>
      <c r="F15" s="246"/>
      <c r="G15" s="246"/>
      <c r="H15" s="246"/>
      <c r="I15" s="246"/>
      <c r="J15" s="247"/>
    </row>
    <row r="16" spans="3:10">
      <c r="I16" s="196"/>
      <c r="J16" s="196"/>
    </row>
    <row r="17" spans="3:10" ht="16.5" thickBot="1">
      <c r="C17" s="192" t="s">
        <v>547</v>
      </c>
      <c r="D17" s="164"/>
      <c r="E17" s="202"/>
      <c r="F17" s="202"/>
      <c r="G17" s="202"/>
      <c r="H17" s="202"/>
      <c r="I17" s="202"/>
      <c r="J17" s="202"/>
    </row>
    <row r="18" spans="3:10" ht="15.75" thickBot="1">
      <c r="C18" s="193" t="s">
        <v>171</v>
      </c>
      <c r="D18" s="129"/>
      <c r="I18" s="196"/>
      <c r="J18" s="196"/>
    </row>
    <row r="19" spans="3:10" ht="15.75" thickBot="1">
      <c r="C19" s="130" t="s">
        <v>440</v>
      </c>
      <c r="D19" s="124"/>
      <c r="E19" s="193"/>
      <c r="F19" s="193"/>
      <c r="G19" s="193"/>
      <c r="H19" s="193"/>
    </row>
    <row r="20" spans="3:10" ht="15.75" thickBot="1">
      <c r="C20" s="130" t="s">
        <v>581</v>
      </c>
      <c r="D20" s="204"/>
      <c r="E20" s="193"/>
      <c r="F20" s="193"/>
      <c r="G20" s="193"/>
      <c r="H20" s="193"/>
    </row>
    <row r="21" spans="3:10">
      <c r="C21" s="130"/>
      <c r="D21" s="193"/>
      <c r="E21" s="193"/>
      <c r="F21" s="193"/>
      <c r="G21" s="193"/>
      <c r="H21" s="193"/>
    </row>
    <row r="22" spans="3:10" ht="30.75" thickBot="1">
      <c r="C22" s="205" t="s">
        <v>421</v>
      </c>
      <c r="D22" s="193"/>
      <c r="E22" s="193"/>
      <c r="F22" s="205" t="s">
        <v>422</v>
      </c>
      <c r="G22" s="193"/>
      <c r="H22" s="193"/>
    </row>
    <row r="23" spans="3:10" ht="15.75" thickBot="1">
      <c r="C23" s="196" t="s">
        <v>419</v>
      </c>
      <c r="D23" s="124"/>
      <c r="F23" s="196" t="s">
        <v>596</v>
      </c>
      <c r="G23" s="124"/>
      <c r="I23" s="196"/>
      <c r="J23" s="196"/>
    </row>
    <row r="24" spans="3:10" ht="15.75" thickBot="1">
      <c r="C24" s="196" t="s">
        <v>550</v>
      </c>
      <c r="D24" s="124"/>
      <c r="F24" s="196" t="s">
        <v>582</v>
      </c>
      <c r="G24" s="124"/>
      <c r="I24" s="196"/>
      <c r="J24" s="196"/>
    </row>
    <row r="25" spans="3:10" ht="15.75" thickBot="1">
      <c r="C25" s="196" t="s">
        <v>549</v>
      </c>
      <c r="D25" s="124"/>
      <c r="F25" s="196" t="s">
        <v>583</v>
      </c>
      <c r="G25" s="124"/>
      <c r="I25" s="196"/>
      <c r="J25" s="196"/>
    </row>
    <row r="26" spans="3:10" ht="15.75" thickBot="1">
      <c r="C26" s="196" t="s">
        <v>551</v>
      </c>
      <c r="D26" s="124"/>
      <c r="F26" s="196" t="s">
        <v>424</v>
      </c>
      <c r="G26" s="124"/>
      <c r="I26" s="196"/>
      <c r="J26" s="196"/>
    </row>
    <row r="27" spans="3:10" ht="15.75" thickBot="1">
      <c r="C27" s="196" t="s">
        <v>552</v>
      </c>
      <c r="D27" s="124"/>
      <c r="F27" s="196" t="s">
        <v>425</v>
      </c>
      <c r="G27" s="124"/>
      <c r="I27" s="196"/>
      <c r="J27" s="196"/>
    </row>
    <row r="28" spans="3:10" ht="15.75" thickBot="1">
      <c r="C28" s="196" t="s">
        <v>553</v>
      </c>
      <c r="D28" s="124"/>
      <c r="F28" s="196" t="s">
        <v>426</v>
      </c>
      <c r="G28" s="124"/>
      <c r="I28" s="196"/>
      <c r="J28" s="196"/>
    </row>
    <row r="29" spans="3:10" ht="15.75" thickBot="1">
      <c r="C29" s="196" t="s">
        <v>554</v>
      </c>
      <c r="D29" s="124"/>
      <c r="F29" s="196" t="s">
        <v>427</v>
      </c>
      <c r="G29" s="124"/>
      <c r="I29" s="196"/>
      <c r="J29" s="196"/>
    </row>
    <row r="30" spans="3:10" ht="15.75" thickBot="1">
      <c r="C30" s="196" t="s">
        <v>555</v>
      </c>
      <c r="D30" s="124"/>
      <c r="F30" s="196" t="s">
        <v>428</v>
      </c>
      <c r="G30" s="124"/>
      <c r="I30" s="196"/>
      <c r="J30" s="196"/>
    </row>
    <row r="31" spans="3:10" ht="15.75" thickBot="1">
      <c r="C31" s="196" t="s">
        <v>556</v>
      </c>
      <c r="D31" s="124"/>
      <c r="F31" s="196" t="s">
        <v>429</v>
      </c>
      <c r="G31" s="124"/>
      <c r="I31" s="196"/>
      <c r="J31" s="196"/>
    </row>
    <row r="32" spans="3:10" ht="15.75" thickBot="1">
      <c r="C32" s="196" t="s">
        <v>557</v>
      </c>
      <c r="D32" s="124"/>
      <c r="F32" s="196" t="s">
        <v>430</v>
      </c>
      <c r="G32" s="124"/>
      <c r="I32" s="196"/>
      <c r="J32" s="196"/>
    </row>
    <row r="33" spans="3:10" ht="15.75" thickBot="1">
      <c r="C33" s="193" t="s">
        <v>558</v>
      </c>
      <c r="D33" s="124"/>
      <c r="F33" s="196" t="s">
        <v>431</v>
      </c>
      <c r="G33" s="124"/>
      <c r="I33" s="196"/>
      <c r="J33" s="196"/>
    </row>
    <row r="34" spans="3:10" ht="15.75" thickBot="1">
      <c r="C34" s="196" t="s">
        <v>432</v>
      </c>
      <c r="D34" s="125">
        <f>SUM(D24:D33)</f>
        <v>0</v>
      </c>
      <c r="F34" s="196" t="s">
        <v>432</v>
      </c>
      <c r="G34" s="125">
        <f>SUM(G24:G33)</f>
        <v>0</v>
      </c>
      <c r="I34" s="196"/>
      <c r="J34" s="196"/>
    </row>
    <row r="35" spans="3:10">
      <c r="C35" s="132"/>
      <c r="I35" s="196"/>
      <c r="J35" s="196"/>
    </row>
    <row r="36" spans="3:10" ht="16.5" thickBot="1">
      <c r="C36" s="192" t="s">
        <v>106</v>
      </c>
      <c r="D36" s="164"/>
      <c r="E36" s="202"/>
      <c r="F36" s="202"/>
      <c r="G36" s="202"/>
      <c r="H36" s="202"/>
      <c r="I36" s="202"/>
      <c r="J36" s="202"/>
    </row>
    <row r="37" spans="3:10" ht="15.75" thickBot="1">
      <c r="C37" s="206" t="s">
        <v>446</v>
      </c>
      <c r="D37" s="134"/>
      <c r="I37" s="196"/>
      <c r="J37" s="196"/>
    </row>
    <row r="38" spans="3:10" s="208" customFormat="1">
      <c r="C38" s="207"/>
      <c r="D38" s="136"/>
      <c r="E38" s="207"/>
      <c r="F38" s="207"/>
      <c r="G38" s="207"/>
      <c r="H38" s="207"/>
      <c r="I38" s="207"/>
      <c r="J38" s="207"/>
    </row>
    <row r="39" spans="3:10" ht="16.5" thickBot="1">
      <c r="C39" s="192" t="s">
        <v>173</v>
      </c>
      <c r="D39" s="164"/>
      <c r="E39" s="202"/>
      <c r="F39" s="202"/>
      <c r="G39" s="202"/>
      <c r="H39" s="202"/>
      <c r="I39" s="202"/>
      <c r="J39" s="202"/>
    </row>
    <row r="40" spans="3:10" ht="15.75" thickBot="1">
      <c r="C40" s="193" t="s">
        <v>123</v>
      </c>
      <c r="D40" s="129"/>
      <c r="E40" s="193"/>
      <c r="F40" s="193"/>
      <c r="G40" s="193"/>
      <c r="H40" s="193"/>
    </row>
    <row r="41" spans="3:10" ht="18" thickBot="1">
      <c r="C41" s="208" t="s">
        <v>166</v>
      </c>
      <c r="D41" s="129"/>
      <c r="E41" s="193"/>
      <c r="F41" s="193"/>
      <c r="G41" s="193"/>
      <c r="H41" s="193"/>
    </row>
    <row r="42" spans="3:10" ht="15.75" thickBot="1">
      <c r="C42" s="208"/>
      <c r="D42" s="130"/>
      <c r="E42" s="193"/>
      <c r="F42" s="193"/>
      <c r="G42" s="193"/>
      <c r="H42" s="193"/>
    </row>
    <row r="43" spans="3:10" ht="15.75" thickBot="1">
      <c r="C43" s="193" t="s">
        <v>124</v>
      </c>
      <c r="D43" s="129"/>
      <c r="E43" s="193"/>
      <c r="F43" s="193"/>
      <c r="G43" s="193"/>
      <c r="H43" s="193"/>
    </row>
    <row r="44" spans="3:10" ht="18" thickBot="1">
      <c r="C44" s="208" t="s">
        <v>167</v>
      </c>
      <c r="D44" s="129"/>
      <c r="E44" s="193"/>
      <c r="F44" s="193"/>
      <c r="G44" s="193"/>
      <c r="H44" s="193"/>
    </row>
    <row r="45" spans="3:10" ht="15.75" thickBot="1">
      <c r="C45" s="208"/>
      <c r="D45" s="138"/>
      <c r="E45" s="193"/>
      <c r="F45" s="193"/>
      <c r="G45" s="193"/>
      <c r="H45" s="193"/>
    </row>
    <row r="46" spans="3:10" ht="15.75" thickBot="1">
      <c r="C46" s="193" t="s">
        <v>125</v>
      </c>
      <c r="D46" s="129"/>
      <c r="E46" s="193"/>
      <c r="F46" s="193"/>
      <c r="G46" s="193"/>
      <c r="H46" s="193"/>
    </row>
    <row r="47" spans="3:10" ht="18" thickBot="1">
      <c r="C47" s="208" t="s">
        <v>168</v>
      </c>
      <c r="D47" s="129"/>
      <c r="E47" s="193"/>
      <c r="F47" s="193"/>
      <c r="G47" s="193"/>
      <c r="H47" s="193"/>
    </row>
    <row r="48" spans="3:10" ht="15.75" thickBot="1">
      <c r="C48" s="208"/>
      <c r="D48" s="138"/>
      <c r="E48" s="193"/>
      <c r="F48" s="193"/>
      <c r="G48" s="193"/>
      <c r="H48" s="193"/>
    </row>
    <row r="49" spans="3:10" ht="15.75" thickBot="1">
      <c r="C49" s="193" t="s">
        <v>157</v>
      </c>
      <c r="D49" s="129"/>
      <c r="E49" s="193"/>
      <c r="F49" s="193"/>
      <c r="G49" s="193"/>
      <c r="H49" s="193"/>
    </row>
    <row r="50" spans="3:10" ht="18" thickBot="1">
      <c r="C50" s="208" t="s">
        <v>170</v>
      </c>
      <c r="D50" s="129"/>
      <c r="E50" s="193"/>
      <c r="F50" s="193"/>
      <c r="G50" s="193"/>
      <c r="H50" s="193"/>
    </row>
    <row r="51" spans="3:10" ht="15.75" thickBot="1">
      <c r="C51" s="208"/>
      <c r="D51" s="138"/>
      <c r="E51" s="193"/>
      <c r="F51" s="193"/>
      <c r="G51" s="193"/>
      <c r="H51" s="193"/>
    </row>
    <row r="52" spans="3:10" ht="15.75" thickBot="1">
      <c r="C52" s="193" t="s">
        <v>158</v>
      </c>
      <c r="D52" s="129"/>
      <c r="E52" s="193"/>
      <c r="F52" s="193"/>
      <c r="G52" s="193"/>
      <c r="H52" s="193"/>
    </row>
    <row r="53" spans="3:10" ht="18" thickBot="1">
      <c r="C53" s="208" t="s">
        <v>169</v>
      </c>
      <c r="D53" s="129"/>
      <c r="E53" s="193"/>
      <c r="F53" s="193"/>
      <c r="G53" s="193"/>
      <c r="H53" s="193"/>
    </row>
    <row r="54" spans="3:10" ht="15.75" thickBot="1">
      <c r="C54" s="208"/>
      <c r="D54" s="138"/>
      <c r="E54" s="193"/>
      <c r="F54" s="193"/>
      <c r="G54" s="193"/>
      <c r="H54" s="193"/>
    </row>
    <row r="55" spans="3:10" ht="15.75" thickBot="1">
      <c r="C55" s="193" t="s">
        <v>540</v>
      </c>
      <c r="D55" s="129"/>
      <c r="E55" s="193"/>
      <c r="F55" s="193"/>
      <c r="G55" s="193"/>
      <c r="H55" s="193"/>
    </row>
    <row r="56" spans="3:10" ht="18" thickBot="1">
      <c r="C56" s="208" t="s">
        <v>541</v>
      </c>
      <c r="D56" s="129"/>
      <c r="E56" s="193"/>
      <c r="F56" s="193"/>
      <c r="G56" s="193"/>
      <c r="H56" s="193"/>
    </row>
    <row r="57" spans="3:10">
      <c r="C57" s="208"/>
      <c r="D57" s="138"/>
      <c r="E57" s="193"/>
      <c r="F57" s="193"/>
      <c r="G57" s="193"/>
      <c r="H57" s="193"/>
    </row>
    <row r="58" spans="3:10" ht="16.5" thickBot="1">
      <c r="C58" s="167" t="s">
        <v>575</v>
      </c>
      <c r="D58" s="164"/>
      <c r="E58" s="202"/>
      <c r="F58" s="202"/>
      <c r="G58" s="202"/>
      <c r="H58" s="202"/>
      <c r="I58" s="202"/>
      <c r="J58" s="202"/>
    </row>
    <row r="59" spans="3:10" ht="15.75" thickBot="1">
      <c r="C59" s="196" t="s">
        <v>128</v>
      </c>
      <c r="D59" s="129"/>
    </row>
    <row r="60" spans="3:10" ht="15.75" thickBot="1">
      <c r="C60" s="196" t="s">
        <v>416</v>
      </c>
      <c r="D60" s="139"/>
    </row>
    <row r="61" spans="3:10" ht="15.75" thickBot="1">
      <c r="D61" s="136"/>
    </row>
    <row r="62" spans="3:10" ht="15.75" thickBot="1">
      <c r="C62" s="196" t="s">
        <v>128</v>
      </c>
      <c r="D62" s="129"/>
    </row>
    <row r="63" spans="3:10" ht="15.75" thickBot="1">
      <c r="C63" s="196" t="s">
        <v>417</v>
      </c>
      <c r="D63" s="139"/>
    </row>
    <row r="64" spans="3:10" ht="15.75" thickBot="1">
      <c r="D64" s="136"/>
    </row>
    <row r="65" spans="3:10" ht="15.75" thickBot="1">
      <c r="C65" s="196" t="s">
        <v>128</v>
      </c>
      <c r="D65" s="129"/>
    </row>
    <row r="66" spans="3:10" ht="15.75" thickBot="1">
      <c r="C66" s="196" t="s">
        <v>418</v>
      </c>
      <c r="D66" s="139"/>
    </row>
    <row r="67" spans="3:10">
      <c r="D67" s="136"/>
    </row>
    <row r="68" spans="3:10" ht="15.75">
      <c r="C68" s="167" t="s">
        <v>433</v>
      </c>
      <c r="D68" s="164"/>
      <c r="E68" s="202"/>
      <c r="F68" s="202"/>
      <c r="G68" s="202"/>
      <c r="H68" s="202"/>
      <c r="I68" s="202"/>
      <c r="J68" s="202"/>
    </row>
    <row r="69" spans="3:10" ht="30.75" thickBot="1">
      <c r="C69" s="209" t="s">
        <v>460</v>
      </c>
      <c r="D69" s="130"/>
      <c r="E69" s="193"/>
      <c r="F69" s="203" t="s">
        <v>461</v>
      </c>
      <c r="G69" s="193"/>
      <c r="H69" s="193"/>
      <c r="I69" s="210" t="s">
        <v>584</v>
      </c>
    </row>
    <row r="70" spans="3:10" ht="15.75" thickBot="1">
      <c r="C70" s="196" t="s">
        <v>128</v>
      </c>
      <c r="D70" s="134"/>
      <c r="F70" s="196" t="s">
        <v>128</v>
      </c>
      <c r="G70" s="134"/>
      <c r="I70" s="196" t="s">
        <v>128</v>
      </c>
      <c r="J70" s="134"/>
    </row>
    <row r="71" spans="3:10" ht="15.75" thickBot="1">
      <c r="C71" s="196" t="s">
        <v>437</v>
      </c>
      <c r="D71" s="139"/>
      <c r="F71" s="196" t="s">
        <v>437</v>
      </c>
      <c r="G71" s="139"/>
      <c r="I71" s="196" t="s">
        <v>437</v>
      </c>
      <c r="J71" s="139"/>
    </row>
    <row r="72" spans="3:10" ht="15.75" thickBot="1">
      <c r="D72" s="136"/>
      <c r="G72" s="136"/>
      <c r="I72" s="196"/>
      <c r="J72" s="136"/>
    </row>
    <row r="73" spans="3:10" ht="15.75" thickBot="1">
      <c r="C73" s="196" t="s">
        <v>128</v>
      </c>
      <c r="D73" s="134"/>
      <c r="F73" s="196" t="s">
        <v>128</v>
      </c>
      <c r="G73" s="134"/>
      <c r="I73" s="196" t="s">
        <v>128</v>
      </c>
      <c r="J73" s="134"/>
    </row>
    <row r="74" spans="3:10" ht="15.75" thickBot="1">
      <c r="C74" s="196" t="s">
        <v>438</v>
      </c>
      <c r="D74" s="139"/>
      <c r="F74" s="196" t="s">
        <v>438</v>
      </c>
      <c r="G74" s="139"/>
      <c r="I74" s="196" t="s">
        <v>438</v>
      </c>
      <c r="J74" s="139"/>
    </row>
    <row r="75" spans="3:10" ht="15.75" thickBot="1">
      <c r="D75" s="136"/>
      <c r="G75" s="136"/>
      <c r="I75" s="196"/>
      <c r="J75" s="136"/>
    </row>
    <row r="76" spans="3:10" ht="15.75" thickBot="1">
      <c r="C76" s="196" t="s">
        <v>128</v>
      </c>
      <c r="D76" s="134"/>
      <c r="F76" s="196" t="s">
        <v>128</v>
      </c>
      <c r="G76" s="134"/>
      <c r="I76" s="196" t="s">
        <v>128</v>
      </c>
      <c r="J76" s="134"/>
    </row>
    <row r="77" spans="3:10" ht="15.75" thickBot="1">
      <c r="C77" s="196" t="s">
        <v>439</v>
      </c>
      <c r="D77" s="139"/>
      <c r="F77" s="196" t="s">
        <v>439</v>
      </c>
      <c r="G77" s="139"/>
      <c r="I77" s="196" t="s">
        <v>439</v>
      </c>
      <c r="J77" s="139"/>
    </row>
    <row r="78" spans="3:10" ht="15.75" thickBot="1">
      <c r="D78" s="136"/>
      <c r="G78" s="136"/>
      <c r="I78" s="196"/>
      <c r="J78" s="136"/>
    </row>
    <row r="79" spans="3:10" ht="15.75" thickBot="1">
      <c r="D79" s="136"/>
      <c r="F79" s="196" t="s">
        <v>128</v>
      </c>
      <c r="G79" s="134"/>
      <c r="I79" s="196" t="s">
        <v>128</v>
      </c>
      <c r="J79" s="134"/>
    </row>
    <row r="80" spans="3:10" ht="15.75" thickBot="1">
      <c r="D80" s="136"/>
      <c r="F80" s="196" t="s">
        <v>462</v>
      </c>
      <c r="G80" s="139"/>
      <c r="I80" s="196" t="s">
        <v>462</v>
      </c>
      <c r="J80" s="139"/>
    </row>
    <row r="81" spans="3:10" ht="15.75" thickBot="1">
      <c r="D81" s="136"/>
      <c r="G81" s="136"/>
      <c r="I81" s="196"/>
      <c r="J81" s="136"/>
    </row>
    <row r="82" spans="3:10" ht="15.75" thickBot="1">
      <c r="D82" s="136"/>
      <c r="F82" s="196" t="s">
        <v>128</v>
      </c>
      <c r="G82" s="134"/>
      <c r="I82" s="196"/>
      <c r="J82" s="136"/>
    </row>
    <row r="83" spans="3:10" ht="15.75" thickBot="1">
      <c r="D83" s="136"/>
      <c r="F83" s="196" t="s">
        <v>535</v>
      </c>
      <c r="G83" s="139"/>
      <c r="I83" s="196"/>
      <c r="J83" s="136"/>
    </row>
    <row r="84" spans="3:10">
      <c r="D84" s="136"/>
      <c r="G84" s="136"/>
      <c r="I84" s="196"/>
      <c r="J84" s="136"/>
    </row>
    <row r="85" spans="3:10" ht="16.5" thickBot="1">
      <c r="C85" s="192" t="s">
        <v>108</v>
      </c>
      <c r="D85" s="164"/>
      <c r="E85" s="202"/>
      <c r="F85" s="202"/>
      <c r="G85" s="202"/>
      <c r="H85" s="202"/>
      <c r="I85" s="202"/>
      <c r="J85" s="202"/>
    </row>
    <row r="86" spans="3:10" ht="15.75" thickBot="1">
      <c r="C86" s="211" t="s">
        <v>560</v>
      </c>
      <c r="D86" s="129"/>
      <c r="F86" s="208" t="s">
        <v>572</v>
      </c>
      <c r="G86" s="204"/>
      <c r="I86" s="196"/>
      <c r="J86" s="196"/>
    </row>
    <row r="87" spans="3:10" ht="18" thickBot="1">
      <c r="C87" s="212" t="s">
        <v>561</v>
      </c>
      <c r="D87" s="134"/>
      <c r="F87" s="208" t="s">
        <v>566</v>
      </c>
      <c r="G87" s="213"/>
      <c r="I87" s="196"/>
      <c r="J87" s="196"/>
    </row>
    <row r="88" spans="3:10" ht="15.75" thickBot="1">
      <c r="C88" s="212"/>
      <c r="D88" s="175"/>
      <c r="G88" s="207"/>
      <c r="I88" s="196"/>
      <c r="J88" s="196"/>
    </row>
    <row r="89" spans="3:10" ht="15.75" thickBot="1">
      <c r="C89" s="212" t="s">
        <v>562</v>
      </c>
      <c r="D89" s="129"/>
      <c r="F89" s="208" t="s">
        <v>161</v>
      </c>
      <c r="G89" s="204"/>
      <c r="I89" s="196"/>
      <c r="J89" s="196"/>
    </row>
    <row r="90" spans="3:10" ht="18" thickBot="1">
      <c r="C90" s="214" t="s">
        <v>563</v>
      </c>
      <c r="D90" s="134"/>
      <c r="F90" s="208" t="s">
        <v>567</v>
      </c>
      <c r="G90" s="213"/>
      <c r="I90" s="196"/>
      <c r="J90" s="196"/>
    </row>
    <row r="91" spans="3:10" ht="15.75" thickBot="1">
      <c r="D91" s="136"/>
      <c r="G91" s="207"/>
      <c r="I91" s="196"/>
      <c r="J91" s="196"/>
    </row>
    <row r="92" spans="3:10" ht="15.75" thickBot="1">
      <c r="C92" s="208" t="s">
        <v>544</v>
      </c>
      <c r="D92" s="129"/>
      <c r="F92" s="208" t="s">
        <v>162</v>
      </c>
      <c r="G92" s="204"/>
      <c r="I92" s="196"/>
      <c r="J92" s="196"/>
    </row>
    <row r="93" spans="3:10" ht="18" thickBot="1">
      <c r="C93" s="208" t="s">
        <v>165</v>
      </c>
      <c r="D93" s="139"/>
      <c r="F93" s="208" t="s">
        <v>568</v>
      </c>
      <c r="G93" s="213"/>
      <c r="I93" s="196"/>
      <c r="J93" s="196"/>
    </row>
    <row r="94" spans="3:10" ht="15.75" thickBot="1">
      <c r="D94" s="136"/>
      <c r="G94" s="207"/>
      <c r="I94" s="196"/>
      <c r="J94" s="196"/>
    </row>
    <row r="95" spans="3:10" ht="15.75" thickBot="1">
      <c r="C95" s="208" t="s">
        <v>159</v>
      </c>
      <c r="D95" s="129"/>
      <c r="F95" s="208" t="s">
        <v>163</v>
      </c>
      <c r="G95" s="204"/>
      <c r="I95" s="196"/>
      <c r="J95" s="196"/>
    </row>
    <row r="96" spans="3:10" ht="18" thickBot="1">
      <c r="C96" s="208" t="s">
        <v>564</v>
      </c>
      <c r="D96" s="139"/>
      <c r="F96" s="208" t="s">
        <v>569</v>
      </c>
      <c r="G96" s="213"/>
      <c r="I96" s="196"/>
      <c r="J96" s="196"/>
    </row>
    <row r="97" spans="3:10" ht="15.75" thickBot="1">
      <c r="D97" s="136"/>
      <c r="F97" s="208"/>
      <c r="G97" s="207"/>
      <c r="I97" s="196"/>
      <c r="J97" s="196"/>
    </row>
    <row r="98" spans="3:10" ht="15.75" thickBot="1">
      <c r="C98" s="208" t="s">
        <v>160</v>
      </c>
      <c r="D98" s="129"/>
      <c r="F98" s="208" t="s">
        <v>164</v>
      </c>
      <c r="G98" s="204"/>
      <c r="I98" s="196"/>
      <c r="J98" s="196"/>
    </row>
    <row r="99" spans="3:10" ht="18" thickBot="1">
      <c r="C99" s="208" t="s">
        <v>565</v>
      </c>
      <c r="D99" s="139"/>
      <c r="F99" s="208" t="s">
        <v>570</v>
      </c>
      <c r="G99" s="213"/>
      <c r="I99" s="196"/>
      <c r="J99" s="196"/>
    </row>
    <row r="100" spans="3:10">
      <c r="D100" s="136"/>
      <c r="I100" s="196"/>
      <c r="J100" s="196"/>
    </row>
    <row r="101" spans="3:10" ht="16.5" thickBot="1">
      <c r="C101" s="192" t="s">
        <v>109</v>
      </c>
      <c r="D101" s="164"/>
      <c r="E101" s="202"/>
      <c r="F101" s="202"/>
      <c r="G101" s="202"/>
      <c r="H101" s="202"/>
      <c r="I101" s="202"/>
      <c r="J101" s="202"/>
    </row>
    <row r="102" spans="3:10" ht="15.75" thickBot="1">
      <c r="C102" s="211" t="s">
        <v>590</v>
      </c>
      <c r="D102" s="129"/>
      <c r="I102" s="196"/>
      <c r="J102" s="196"/>
    </row>
    <row r="103" spans="3:10" ht="18" thickBot="1">
      <c r="C103" s="215" t="s">
        <v>601</v>
      </c>
      <c r="D103" s="139"/>
      <c r="I103" s="196"/>
      <c r="J103" s="196"/>
    </row>
    <row r="104" spans="3:10" ht="15.75" thickBot="1">
      <c r="C104" s="215"/>
      <c r="D104" s="175"/>
      <c r="I104" s="196"/>
      <c r="J104" s="196"/>
    </row>
    <row r="105" spans="3:10" ht="15.75" thickBot="1">
      <c r="C105" s="215" t="s">
        <v>591</v>
      </c>
      <c r="D105" s="129"/>
      <c r="I105" s="196"/>
      <c r="J105" s="196"/>
    </row>
    <row r="106" spans="3:10" ht="18" thickBot="1">
      <c r="C106" s="216" t="s">
        <v>602</v>
      </c>
      <c r="D106" s="139"/>
      <c r="I106" s="196"/>
      <c r="J106" s="196"/>
    </row>
    <row r="107" spans="3:10" ht="15.75" thickBot="1">
      <c r="D107" s="136"/>
      <c r="I107" s="196"/>
      <c r="J107" s="196"/>
    </row>
    <row r="108" spans="3:10" ht="15.75" thickBot="1">
      <c r="C108" s="208" t="s">
        <v>545</v>
      </c>
      <c r="D108" s="129"/>
      <c r="I108" s="196"/>
      <c r="J108" s="196"/>
    </row>
    <row r="109" spans="3:10" ht="18" thickBot="1">
      <c r="C109" s="196" t="s">
        <v>604</v>
      </c>
      <c r="D109" s="139"/>
      <c r="I109" s="196"/>
      <c r="J109" s="196"/>
    </row>
    <row r="110" spans="3:10" ht="15.75" thickBot="1">
      <c r="D110" s="136"/>
      <c r="I110" s="196"/>
      <c r="J110" s="196"/>
    </row>
    <row r="111" spans="3:10" ht="15.75" thickBot="1">
      <c r="C111" s="208" t="s">
        <v>174</v>
      </c>
      <c r="D111" s="129"/>
      <c r="I111" s="196"/>
      <c r="J111" s="196"/>
    </row>
    <row r="112" spans="3:10" ht="18" thickBot="1">
      <c r="C112" s="196" t="s">
        <v>605</v>
      </c>
      <c r="D112" s="139"/>
      <c r="I112" s="196"/>
      <c r="J112" s="196"/>
    </row>
    <row r="113" spans="2:11" ht="15.75" thickBot="1">
      <c r="D113" s="136"/>
      <c r="I113" s="196"/>
      <c r="J113" s="196"/>
    </row>
    <row r="114" spans="2:11" ht="15.75" thickBot="1">
      <c r="C114" s="208" t="s">
        <v>175</v>
      </c>
      <c r="D114" s="129"/>
      <c r="I114" s="196"/>
      <c r="J114" s="196"/>
    </row>
    <row r="115" spans="2:11" ht="18" thickBot="1">
      <c r="C115" s="196" t="s">
        <v>606</v>
      </c>
      <c r="D115" s="139"/>
      <c r="I115" s="196"/>
      <c r="J115" s="196"/>
    </row>
    <row r="116" spans="2:11" ht="15.75" thickBot="1">
      <c r="D116" s="136"/>
      <c r="I116" s="196"/>
      <c r="J116" s="196"/>
    </row>
    <row r="117" spans="2:11" ht="15.75">
      <c r="B117" s="208"/>
      <c r="C117" s="217" t="s">
        <v>110</v>
      </c>
      <c r="D117" s="141"/>
      <c r="E117" s="218"/>
      <c r="F117" s="219"/>
      <c r="G117" s="208"/>
      <c r="H117" s="208"/>
      <c r="I117" s="208"/>
      <c r="J117" s="208"/>
      <c r="K117" s="208"/>
    </row>
    <row r="118" spans="2:11" ht="27.75" customHeight="1">
      <c r="B118" s="208"/>
      <c r="C118" s="242" t="s">
        <v>609</v>
      </c>
      <c r="D118" s="243"/>
      <c r="E118" s="243"/>
      <c r="F118" s="244"/>
      <c r="G118" s="208"/>
      <c r="H118" s="208"/>
      <c r="I118" s="208"/>
      <c r="J118" s="208"/>
      <c r="K118" s="208"/>
    </row>
    <row r="119" spans="2:11">
      <c r="B119" s="208"/>
      <c r="C119" s="220"/>
      <c r="D119" s="221"/>
      <c r="E119" s="221"/>
      <c r="F119" s="222"/>
      <c r="G119" s="208"/>
      <c r="H119" s="208"/>
      <c r="I119" s="208"/>
      <c r="J119" s="208"/>
      <c r="K119" s="208"/>
    </row>
    <row r="120" spans="2:11">
      <c r="B120" s="208"/>
      <c r="C120" s="223"/>
      <c r="D120" s="157"/>
      <c r="E120" s="240" t="s">
        <v>536</v>
      </c>
      <c r="F120" s="241"/>
      <c r="G120" s="142"/>
      <c r="H120" s="142"/>
      <c r="I120" s="142"/>
      <c r="J120" s="142"/>
      <c r="K120" s="208"/>
    </row>
    <row r="121" spans="2:11" ht="42" customHeight="1">
      <c r="B121" s="208"/>
      <c r="C121" s="224"/>
      <c r="D121" s="143" t="s">
        <v>414</v>
      </c>
      <c r="E121" s="144" t="s">
        <v>469</v>
      </c>
      <c r="F121" s="145" t="s">
        <v>538</v>
      </c>
      <c r="H121" s="146"/>
      <c r="I121" s="146"/>
      <c r="J121" s="146"/>
      <c r="K121" s="208"/>
    </row>
    <row r="122" spans="2:11" ht="18">
      <c r="B122" s="208"/>
      <c r="C122" s="225" t="s">
        <v>447</v>
      </c>
      <c r="D122" s="150">
        <f>IF(D37=Tablas!C6,Tablas!D6,IF('ENTRADA DE DATOS'!D37=Tablas!C8,Tablas!D8,IF('ENTRADA DE DATOS'!D37=Tablas!C9,Tablas!D9,IF('ENTRADA DE DATOS'!D37=Tablas!C10,Tablas!D10,0))))</f>
        <v>0</v>
      </c>
      <c r="E122" s="151">
        <f>IF($D$18=Tablas!$C$3,'ED MADERA-VIV'!D122,'ED MADERA-OTROS'!D122)</f>
        <v>0</v>
      </c>
      <c r="F122" s="152" t="str">
        <f>IF('ENTRADA DE DATOS'!$D$18=Tablas!$C$3,'ED ESTANDAR-VIV'!D122,"-")</f>
        <v>-</v>
      </c>
      <c r="G122" s="142"/>
      <c r="H122" s="142"/>
      <c r="I122" s="142"/>
      <c r="J122" s="142"/>
      <c r="K122" s="208"/>
    </row>
    <row r="123" spans="2:11" ht="18">
      <c r="B123" s="208"/>
      <c r="C123" s="225" t="s">
        <v>448</v>
      </c>
      <c r="D123" s="150" t="e">
        <f>(IF('ENTRADA DE DATOS'!D40=Tablas!C29,Tablas!D29*D41,IF('ENTRADA DE DATOS'!D40=Tablas!C30,Tablas!D30*D41,IF('ENTRADA DE DATOS'!D40=Tablas!C31,Tablas!D31*D41,IF('ENTRADA DE DATOS'!D40=Tablas!C32,Tablas!D32*D41,IF('ENTRADA DE DATOS'!D40=Tablas!C33,Tablas!D33*D41,IF('ENTRADA DE DATOS'!D40=Tablas!C34,Tablas!D34*D41,0))))))
+IF('ENTRADA DE DATOS'!D43=Tablas!C29,Tablas!D29*D44,IF('ENTRADA DE DATOS'!D43=Tablas!C30,Tablas!D30*D44,IF('ENTRADA DE DATOS'!D43=Tablas!C31,Tablas!D31*D44,IF('ENTRADA DE DATOS'!D43=Tablas!C32,Tablas!D32*D44,IF('ENTRADA DE DATOS'!D43=Tablas!C33,Tablas!D33*D44,IF('ENTRADA DE DATOS'!D43=Tablas!C34,Tablas!D34*D44,0))))))
+IF('ENTRADA DE DATOS'!D46=Tablas!C29,Tablas!D29*D47,IF('ENTRADA DE DATOS'!D46=Tablas!C30,Tablas!D30*D47,IF('ENTRADA DE DATOS'!D46=Tablas!C31,Tablas!D31*D47,IF('ENTRADA DE DATOS'!D46=Tablas!C32,Tablas!D32*D47,IF('ENTRADA DE DATOS'!D46=Tablas!C33,Tablas!D33*D47,IF('ENTRADA DE DATOS'!D46=Tablas!C34,Tablas!D34*D47,0))))))
+IF('ENTRADA DE DATOS'!D49=Tablas!C29,Tablas!D29*D50,IF('ENTRADA DE DATOS'!D49=Tablas!C30,Tablas!D30*D50,IF('ENTRADA DE DATOS'!D49=Tablas!C31,Tablas!D31*D50,IF('ENTRADA DE DATOS'!D49=Tablas!C32,Tablas!D32*D50,IF('ENTRADA DE DATOS'!D49=Tablas!C33,Tablas!D33*D50,IF('ENTRADA DE DATOS'!D49=Tablas!C34,Tablas!D34*D50,0))))))
+IF('ENTRADA DE DATOS'!D52=Tablas!C29,Tablas!D29*D53,IF('ENTRADA DE DATOS'!D52=Tablas!C30,Tablas!D30*D53,IF('ENTRADA DE DATOS'!D52=Tablas!C31,Tablas!D31*D53,IF('ENTRADA DE DATOS'!D52=Tablas!C32,Tablas!D32*D53,IF('ENTRADA DE DATOS'!D52=Tablas!C33,Tablas!D33*D53,IF('ENTRADA DE DATOS'!D52=Tablas!C34,Tablas!D34*D53,0))))))
+IF('ENTRADA DE DATOS'!D55=Tablas!C29,Tablas!D29*D56,IF('ENTRADA DE DATOS'!D55=Tablas!C30,Tablas!D30*D56,IF('ENTRADA DE DATOS'!D55=Tablas!C31,Tablas!D31*D56,IF('ENTRADA DE DATOS'!D55=Tablas!C32,Tablas!D32*D56,IF('ENTRADA DE DATOS'!D55=Tablas!C33,Tablas!D33*D56,IF('ENTRADA DE DATOS'!D55=Tablas!C34,Tablas!D34*D56,0)))))))/(IF(D23&gt;0,D34,G34))</f>
        <v>#DIV/0!</v>
      </c>
      <c r="E123" s="151" t="e">
        <f>IF($D$18=Tablas!$C$3,'ED MADERA-VIV'!D123,'ED MADERA-OTROS'!D123)</f>
        <v>#DIV/0!</v>
      </c>
      <c r="F123" s="152" t="str">
        <f>IF('ENTRADA DE DATOS'!$D$18=Tablas!$C$3,'ED ESTANDAR-VIV'!D123,"-")</f>
        <v>-</v>
      </c>
      <c r="G123" s="142"/>
      <c r="H123" s="142"/>
      <c r="I123" s="142"/>
      <c r="J123" s="142"/>
      <c r="K123" s="208"/>
    </row>
    <row r="124" spans="2:11" ht="18">
      <c r="B124" s="208"/>
      <c r="C124" s="225" t="s">
        <v>450</v>
      </c>
      <c r="D124" s="150" t="e">
        <f>(IF(D59=Tablas!C26,'ENTRADA DE DATOS'!D60*Tablas!D26,IF(D59=Tablas!C27,'ENTRADA DE DATOS'!D60*Tablas!D27,IF(D59=Tablas!C28,'ENTRADA DE DATOS'!D60*Tablas!D28,0)))
+IF(D62=Tablas!C26,'ENTRADA DE DATOS'!D63*Tablas!D26,IF(D62=Tablas!C27,'ENTRADA DE DATOS'!D63*Tablas!D27,IF(D62=Tablas!C28,'ENTRADA DE DATOS'!D63*Tablas!D28,0)))
+IF(D65=Tablas!C26,'ENTRADA DE DATOS'!D66*Tablas!D26,IF(D65=Tablas!C27,'ENTRADA DE DATOS'!D66*Tablas!D27,IF(D65=Tablas!C28,'ENTRADA DE DATOS'!D66*Tablas!D28,0))))/(IF(D23&gt;0,D34,G34))</f>
        <v>#DIV/0!</v>
      </c>
      <c r="E124" s="151" t="e">
        <f>IF($D$18=Tablas!$C$3,'ED MADERA-VIV'!D124,'ED MADERA-OTROS'!D124)</f>
        <v>#DIV/0!</v>
      </c>
      <c r="F124" s="152" t="str">
        <f>IF('ENTRADA DE DATOS'!$D$18=Tablas!$C$3,'ED ESTANDAR-VIV'!D124,"-")</f>
        <v>-</v>
      </c>
      <c r="G124" s="142"/>
      <c r="H124" s="142"/>
      <c r="I124" s="142"/>
      <c r="J124" s="142"/>
      <c r="K124" s="208"/>
    </row>
    <row r="125" spans="2:11" ht="18">
      <c r="B125" s="208"/>
      <c r="C125" s="225" t="s">
        <v>452</v>
      </c>
      <c r="D125" s="150" t="e">
        <f>(IF(D70=Tablas!C36,Tablas!D36*D71,IF(D70=Tablas!C37,Tablas!D37*D71,IF(D70=Tablas!C38,Tablas!D38*D71,0)))
+IF(D73=Tablas!C36,Tablas!D36*D74,IF(D73=Tablas!C37,Tablas!D37*D74,IF(D73=Tablas!C38,Tablas!D38*D74,0)))
+IF(D76=Tablas!C36,Tablas!D36*D77,IF(D76=Tablas!C37,Tablas!D37*D77,IF(D76=Tablas!C38,Tablas!D38*D77,0)))
+IF(G70=Tablas!C39,Tablas!D39*G71,IF(G70=Tablas!C40,Tablas!D40*G71,IF(G70=Tablas!C41,Tablas!D41*G71,IF(G70=Tablas!C42,Tablas!D42*G71,IF(G70=Tablas!C43,Tablas!D43*G71,0)))))
+IF(G73=Tablas!C39,Tablas!D39*G74,IF(G73=Tablas!C40,Tablas!D40*G74,IF(G73=Tablas!C41,Tablas!D41*G74,IF(G73=Tablas!C42,Tablas!D42*G74,IF(G73=Tablas!C43,Tablas!D43*G74,0)))))
+IF(G76=Tablas!C39,Tablas!D39*G77,IF(G76=Tablas!C40,Tablas!D40*G77,IF(G76=Tablas!C41,Tablas!D41*G77,IF(G76=Tablas!C42,Tablas!D42*G77,IF(G76=Tablas!C43,Tablas!D43*G77,0)))))
+IF(G79=Tablas!C39,Tablas!D39*G80,IF(G79=Tablas!C40,Tablas!D40*G80,IF(G79=Tablas!C41,Tablas!D41*G80,IF(G79=Tablas!C42,Tablas!D42*G80,IF(G79=Tablas!C43,Tablas!D43*G80,0)))))
+IF(G82=Tablas!C39,Tablas!D39*G83,IF(G82=Tablas!C40,Tablas!D40*G83,IF(G82=Tablas!C41,Tablas!D41*G83,IF(G83=Tablas!C42,Tablas!D42*G80,IF(G83=Tablas!C43,Tablas!D43*G80,0)))))
+IF(J70=Tablas!C39,Tablas!D39*J71,IF(J70=Tablas!C40,Tablas!D40*J71,IF(J70=Tablas!C41,Tablas!D41*J71,IF(J70=Tablas!C42,Tablas!D42*J71,IF(J70=Tablas!C43,Tablas!D43*J71,0)))))
+IF(J73=Tablas!C39,Tablas!D39*J74,IF(J73=Tablas!C40,Tablas!D40*J74,IF(J73=Tablas!C41,Tablas!D41*J74,IF(J73=Tablas!C42,Tablas!D42*J74,IF(J73=Tablas!C43,Tablas!D43*J74,0)))))
+IF(J76=Tablas!C39,Tablas!D39*J77,IF(J76=Tablas!C40,Tablas!D40*J77,IF(J76=Tablas!C41,Tablas!D41*J77,IF(J76=Tablas!C42,Tablas!D42*J77,IF(J76=Tablas!C43,Tablas!D43*J77,0)))))
+IF(J79=Tablas!C39,Tablas!D39*J80,IF(J79=Tablas!C40,Tablas!D40*J80,IF(J79=Tablas!C41,Tablas!D41*J80,IF(J79=Tablas!C42,Tablas!D42*J80,IF(J79=Tablas!C43,Tablas!D43*J80,0))))))/(IF(D23&gt;0,D34,G34))</f>
        <v>#DIV/0!</v>
      </c>
      <c r="E125" s="151" t="e">
        <f>IF($D$18=Tablas!$C$3,'ED MADERA-VIV'!D125,'ED MADERA-OTROS'!D125)</f>
        <v>#DIV/0!</v>
      </c>
      <c r="F125" s="152" t="str">
        <f>IF('ENTRADA DE DATOS'!$D$18=Tablas!$C$3,'ED ESTANDAR-VIV'!D125,"-")</f>
        <v>-</v>
      </c>
      <c r="G125" s="142"/>
      <c r="H125" s="142"/>
      <c r="I125" s="142"/>
      <c r="J125" s="142"/>
      <c r="K125" s="208"/>
    </row>
    <row r="126" spans="2:11" ht="18">
      <c r="B126" s="208"/>
      <c r="C126" s="225" t="s">
        <v>449</v>
      </c>
      <c r="D126" s="150" t="e">
        <f>(IF(D86=Tablas!C11,Tablas!D11*'ENTRADA DE DATOS'!D87,IF('ENTRADA DE DATOS'!D86=Tablas!C12,Tablas!D12*'ENTRADA DE DATOS'!D87,IF('ENTRADA DE DATOS'!D86=Tablas!C13,Tablas!D13*'ENTRADA DE DATOS'!D87,IF('ENTRADA DE DATOS'!D86=Tablas!C14,Tablas!D14*'ENTRADA DE DATOS'!D87,IF('ENTRADA DE DATOS'!D86=Tablas!C15,Tablas!D15*'ENTRADA DE DATOS'!D87,IF('ENTRADA DE DATOS'!D86=Tablas!C16,Tablas!D16*'ENTRADA DE DATOS'!D87,IF('ENTRADA DE DATOS'!D86=Tablas!C17,Tablas!D17*'ENTRADA DE DATOS'!D87,IF('ENTRADA DE DATOS'!D86=Tablas!C18,Tablas!D18*'ENTRADA DE DATOS'!D87,IF('ENTRADA DE DATOS'!D86=Tablas!C19,Tablas!D19*'ENTRADA DE DATOS'!D87,IF('ENTRADA DE DATOS'!D86=Tablas!C20,Tablas!D20*'ENTRADA DE DATOS'!D87,0))))))))))
+ IF(D89=Tablas!C11,Tablas!D11*'ENTRADA DE DATOS'!D90,IF('ENTRADA DE DATOS'!D89=Tablas!C12,Tablas!D12*'ENTRADA DE DATOS'!D90,IF('ENTRADA DE DATOS'!D89=Tablas!C13,Tablas!D13*'ENTRADA DE DATOS'!D90,IF('ENTRADA DE DATOS'!D89=Tablas!C14,Tablas!D14*'ENTRADA DE DATOS'!D90,IF('ENTRADA DE DATOS'!D89=Tablas!C15,Tablas!D15*'ENTRADA DE DATOS'!D90,IF('ENTRADA DE DATOS'!D89=Tablas!C16,Tablas!D16*'ENTRADA DE DATOS'!D90,IF('ENTRADA DE DATOS'!D89=Tablas!C17,Tablas!D17*'ENTRADA DE DATOS'!D90,IF('ENTRADA DE DATOS'!D89=Tablas!C18,Tablas!D18*'ENTRADA DE DATOS'!D90,IF('ENTRADA DE DATOS'!D89=Tablas!C19,Tablas!D19*'ENTRADA DE DATOS'!D90,IF('ENTRADA DE DATOS'!D89=Tablas!C20,Tablas!D20*'ENTRADA DE DATOS'!D90,0))))))))))
+ IF(D92=Tablas!C11,Tablas!D11*'ENTRADA DE DATOS'!D93,IF('ENTRADA DE DATOS'!D92=Tablas!C12,Tablas!D12*'ENTRADA DE DATOS'!D93,IF('ENTRADA DE DATOS'!D92=Tablas!C13,Tablas!D13*'ENTRADA DE DATOS'!D93,IF('ENTRADA DE DATOS'!D92=Tablas!C14,Tablas!D14*'ENTRADA DE DATOS'!D93,IF('ENTRADA DE DATOS'!D92=Tablas!C15,Tablas!D15*'ENTRADA DE DATOS'!D93,IF('ENTRADA DE DATOS'!D92=Tablas!C16,Tablas!D16*'ENTRADA DE DATOS'!D93,IF('ENTRADA DE DATOS'!D92=Tablas!C17,Tablas!D17*'ENTRADA DE DATOS'!D93,IF('ENTRADA DE DATOS'!D92=Tablas!C18,Tablas!D18*'ENTRADA DE DATOS'!D93,IF('ENTRADA DE DATOS'!D92=Tablas!C19,Tablas!D19*'ENTRADA DE DATOS'!D93,IF('ENTRADA DE DATOS'!D92=Tablas!C20,Tablas!D20*'ENTRADA DE DATOS'!D93,0))))))))))
+ IF(D95=Tablas!C11,Tablas!D11*'ENTRADA DE DATOS'!D96,IF('ENTRADA DE DATOS'!D95=Tablas!C12,Tablas!D12*'ENTRADA DE DATOS'!D96,IF('ENTRADA DE DATOS'!D95=Tablas!C13,Tablas!D13*'ENTRADA DE DATOS'!D96,IF('ENTRADA DE DATOS'!D95=Tablas!C14,Tablas!D14*'ENTRADA DE DATOS'!D96,IF('ENTRADA DE DATOS'!D95=Tablas!C15,Tablas!D15*'ENTRADA DE DATOS'!D96,IF('ENTRADA DE DATOS'!D95=Tablas!C16,Tablas!D16*'ENTRADA DE DATOS'!D96,IF('ENTRADA DE DATOS'!D95=Tablas!C17,Tablas!D17*'ENTRADA DE DATOS'!D96,IF('ENTRADA DE DATOS'!D95=Tablas!C18,Tablas!D18*'ENTRADA DE DATOS'!D96,IF('ENTRADA DE DATOS'!D95=Tablas!C19,Tablas!D19*'ENTRADA DE DATOS'!D96,IF('ENTRADA DE DATOS'!D95=Tablas!C20,Tablas!D20*'ENTRADA DE DATOS'!D96,0))))))))))
+ IF(D98=Tablas!C11,Tablas!D11*'ENTRADA DE DATOS'!D99,IF('ENTRADA DE DATOS'!D98=Tablas!C12,Tablas!D12*'ENTRADA DE DATOS'!D99,IF('ENTRADA DE DATOS'!D98=Tablas!C13,Tablas!D13*'ENTRADA DE DATOS'!D99,IF('ENTRADA DE DATOS'!D98=Tablas!C14,Tablas!D14*'ENTRADA DE DATOS'!D99,IF('ENTRADA DE DATOS'!D98=Tablas!C15,Tablas!D15*'ENTRADA DE DATOS'!D99,IF('ENTRADA DE DATOS'!D98=Tablas!C16,Tablas!D16*'ENTRADA DE DATOS'!D99,IF('ENTRADA DE DATOS'!D98=Tablas!C17,Tablas!D17*'ENTRADA DE DATOS'!D99,IF('ENTRADA DE DATOS'!D98=Tablas!C18,Tablas!D18*'ENTRADA DE DATOS'!D99,IF('ENTRADA DE DATOS'!D98=Tablas!C19,Tablas!D19*'ENTRADA DE DATOS'!D99,IF('ENTRADA DE DATOS'!D98=Tablas!C20,Tablas!D20*'ENTRADA DE DATOS'!D99,0))))))))))
+ IF(G86=Tablas!C11,Tablas!D11*'ENTRADA DE DATOS'!G87,IF('ENTRADA DE DATOS'!G86=Tablas!C12,Tablas!D12*'ENTRADA DE DATOS'!G87,IF('ENTRADA DE DATOS'!G86=Tablas!C13,Tablas!D13*'ENTRADA DE DATOS'!G87,IF('ENTRADA DE DATOS'!G86=Tablas!C14,Tablas!D14*'ENTRADA DE DATOS'!G87,IF('ENTRADA DE DATOS'!G86=Tablas!C15,Tablas!D15*'ENTRADA DE DATOS'!G87,IF('ENTRADA DE DATOS'!G86=Tablas!C16,Tablas!D16*'ENTRADA DE DATOS'!G87,IF('ENTRADA DE DATOS'!G86=Tablas!C17,Tablas!D17*'ENTRADA DE DATOS'!G87,IF('ENTRADA DE DATOS'!G86=Tablas!C18,Tablas!D18*'ENTRADA DE DATOS'!G87,IF('ENTRADA DE DATOS'!G86=Tablas!C19,Tablas!D19*'ENTRADA DE DATOS'!G87,IF('ENTRADA DE DATOS'!G86=Tablas!C20,Tablas!D20*'ENTRADA DE DATOS'!G87,0))))))))))
+ IF(G89=Tablas!C11,Tablas!D11*'ENTRADA DE DATOS'!G90,IF('ENTRADA DE DATOS'!G89=Tablas!C12,Tablas!D12*'ENTRADA DE DATOS'!G90,IF('ENTRADA DE DATOS'!G89=Tablas!C13,Tablas!D13*'ENTRADA DE DATOS'!G90,IF('ENTRADA DE DATOS'!G89=Tablas!C14,Tablas!D14*'ENTRADA DE DATOS'!G90,IF('ENTRADA DE DATOS'!G89=Tablas!C15,Tablas!D15*'ENTRADA DE DATOS'!G90,IF('ENTRADA DE DATOS'!G89=Tablas!C16,Tablas!D16*'ENTRADA DE DATOS'!G90,IF('ENTRADA DE DATOS'!G89=Tablas!C17,Tablas!D17*'ENTRADA DE DATOS'!G90,IF('ENTRADA DE DATOS'!G89=Tablas!C18,Tablas!D18*'ENTRADA DE DATOS'!G90,IF('ENTRADA DE DATOS'!G89=Tablas!C19,Tablas!D19*'ENTRADA DE DATOS'!G90,IF('ENTRADA DE DATOS'!G89=Tablas!C20,Tablas!D20*'ENTRADA DE DATOS'!G90,0))))))))))
+ IF(G92=Tablas!C11,Tablas!D11*'ENTRADA DE DATOS'!G93,IF('ENTRADA DE DATOS'!G92=Tablas!C12,Tablas!D12*'ENTRADA DE DATOS'!G93,IF('ENTRADA DE DATOS'!G92=Tablas!C13,Tablas!D13*'ENTRADA DE DATOS'!G93,IF('ENTRADA DE DATOS'!G92=Tablas!C14,Tablas!D14*'ENTRADA DE DATOS'!G93,IF('ENTRADA DE DATOS'!G92=Tablas!C15,Tablas!D15*'ENTRADA DE DATOS'!G93,IF('ENTRADA DE DATOS'!G92=Tablas!C16,Tablas!D16*'ENTRADA DE DATOS'!G93,IF('ENTRADA DE DATOS'!G92=Tablas!C17,Tablas!D17*'ENTRADA DE DATOS'!G93,IF('ENTRADA DE DATOS'!G92=Tablas!C18,Tablas!D18*'ENTRADA DE DATOS'!G93,IF('ENTRADA DE DATOS'!G92=Tablas!C19,Tablas!D19*'ENTRADA DE DATOS'!G93,IF('ENTRADA DE DATOS'!G92=Tablas!C20,Tablas!D20*'ENTRADA DE DATOS'!G93,0))))))))))
+ IF(G95=Tablas!C11,Tablas!D11*'ENTRADA DE DATOS'!G96,IF('ENTRADA DE DATOS'!G95=Tablas!C12,Tablas!D12*'ENTRADA DE DATOS'!G96,IF('ENTRADA DE DATOS'!G95=Tablas!C13,Tablas!D13*'ENTRADA DE DATOS'!G96,IF('ENTRADA DE DATOS'!G95=Tablas!C14,Tablas!D14*'ENTRADA DE DATOS'!G96,IF('ENTRADA DE DATOS'!G95=Tablas!C15,Tablas!D15*'ENTRADA DE DATOS'!G96,IF('ENTRADA DE DATOS'!G95=Tablas!C16,Tablas!D16*'ENTRADA DE DATOS'!G96,IF('ENTRADA DE DATOS'!G95=Tablas!C17,Tablas!D17*'ENTRADA DE DATOS'!G96,IF('ENTRADA DE DATOS'!G95=Tablas!C18,Tablas!D18*'ENTRADA DE DATOS'!G96,IF('ENTRADA DE DATOS'!G95=Tablas!C19,Tablas!D19*'ENTRADA DE DATOS'!G96,IF('ENTRADA DE DATOS'!G95=Tablas!C20,Tablas!D20*'ENTRADA DE DATOS'!G96,0))))))))))
+ IF(G98=Tablas!C11,Tablas!D11*'ENTRADA DE DATOS'!G99,IF('ENTRADA DE DATOS'!G98=Tablas!C12,Tablas!D12*'ENTRADA DE DATOS'!G99,IF('ENTRADA DE DATOS'!G98=Tablas!C13,Tablas!D13*'ENTRADA DE DATOS'!G99,IF('ENTRADA DE DATOS'!G98=Tablas!C14,Tablas!D14*'ENTRADA DE DATOS'!G99,IF('ENTRADA DE DATOS'!G98=Tablas!C15,Tablas!D15*'ENTRADA DE DATOS'!G99,IF('ENTRADA DE DATOS'!G98=Tablas!C16,Tablas!D16*'ENTRADA DE DATOS'!G99,IF('ENTRADA DE DATOS'!G98=Tablas!C17,Tablas!D17*'ENTRADA DE DATOS'!G99,IF('ENTRADA DE DATOS'!G98=Tablas!C18,Tablas!D18*'ENTRADA DE DATOS'!G99,IF('ENTRADA DE DATOS'!G98=Tablas!C19,Tablas!D19*'ENTRADA DE DATOS'!G99,IF('ENTRADA DE DATOS'!G98=Tablas!C20,Tablas!D20*'ENTRADA DE DATOS'!G99,0)))))))))))/(IF(D23&gt;0,D34,G34))</f>
        <v>#DIV/0!</v>
      </c>
      <c r="E126" s="151" t="e">
        <f>IF($D$18=Tablas!$C$3,'ED MADERA-VIV'!D126,'ED MADERA-OTROS'!D126)</f>
        <v>#DIV/0!</v>
      </c>
      <c r="F126" s="152" t="str">
        <f>IF('ENTRADA DE DATOS'!$D$18=Tablas!$C$3,'ED ESTANDAR-VIV'!D126,"-")</f>
        <v>-</v>
      </c>
      <c r="G126" s="142"/>
      <c r="H126" s="142"/>
      <c r="I126" s="142"/>
      <c r="J126" s="142"/>
      <c r="K126" s="208"/>
    </row>
    <row r="127" spans="2:11" ht="33.75">
      <c r="B127" s="208"/>
      <c r="C127" s="226" t="s">
        <v>548</v>
      </c>
      <c r="D127" s="150" t="e">
        <f>(IF(D102=Tablas!C21,Tablas!D21*'ENTRADA DE DATOS'!D103,IF(D102=Tablas!C22,Tablas!D22*'ENTRADA DE DATOS'!D103,IF(D102=Tablas!C23,Tablas!D23*'ENTRADA DE DATOS'!D103,IF(D102=Tablas!C24,Tablas!D24*'ENTRADA DE DATOS'!D103,IF(D102=Tablas!C25,Tablas!D25*'ENTRADA DE DATOS'!D103,0)))))
+IF(D105=Tablas!C21,Tablas!D21*'ENTRADA DE DATOS'!D106,IF(D105=Tablas!C22,Tablas!D22*'ENTRADA DE DATOS'!D106,IF(D105=Tablas!C23,Tablas!D23*'ENTRADA DE DATOS'!D106,IF(D105=Tablas!C24,Tablas!D24*'ENTRADA DE DATOS'!D106,IF(D105=Tablas!C25,Tablas!D25*'ENTRADA DE DATOS'!D106,0))))
+IF(D108=Tablas!C21,Tablas!D21*'ENTRADA DE DATOS'!D109,IF(D108=Tablas!C22,Tablas!D22*'ENTRADA DE DATOS'!D109,IF(D108=Tablas!C23,Tablas!D23*'ENTRADA DE DATOS'!D109,IF(D108=Tablas!C24,Tablas!D24*'ENTRADA DE DATOS'!D109,IF(D108=Tablas!C25,Tablas!D25*'ENTRADA DE DATOS'!D109,0))))
+IF(D111=Tablas!C21,Tablas!D21*'ENTRADA DE DATOS'!D112,IF(D111=Tablas!C22,Tablas!D22*'ENTRADA DE DATOS'!D112,IF(D111=Tablas!C23,Tablas!D23*'ENTRADA DE DATOS'!D112,IF(D111=Tablas!C24,Tablas!D24*'ENTRADA DE DATOS'!D112,IF(D111=Tablas!C25,Tablas!D25*'ENTRADA DE DATOS'!D112,0))))))
+IF(D114=Tablas!C21,Tablas!D21*'ENTRADA DE DATOS'!D115,IF(D114=Tablas!C22,Tablas!D22*'ENTRADA DE DATOS'!D115,IF(D114=Tablas!C23,Tablas!D23*'ENTRADA DE DATOS'!D115,IF(D114=Tablas!C24,Tablas!D24*'ENTRADA DE DATOS'!D115,IF(D114=Tablas!C25,Tablas!D25*'ENTRADA DE DATOS'!D115,0)))))))/(IF(D23&gt;0,D34,G34))</f>
        <v>#DIV/0!</v>
      </c>
      <c r="E127" s="151" t="e">
        <f>IF($D$18=Tablas!$C$3,'ED MADERA-VIV'!D127,'ED MADERA-OTROS'!D127)</f>
        <v>#DIV/0!</v>
      </c>
      <c r="F127" s="152" t="str">
        <f>IF('ENTRADA DE DATOS'!$D$18=Tablas!$C$3,'ED ESTANDAR-VIV'!D127,"-")</f>
        <v>-</v>
      </c>
      <c r="G127" s="142"/>
      <c r="H127" s="142"/>
      <c r="I127" s="142"/>
      <c r="J127" s="142"/>
      <c r="K127" s="208"/>
    </row>
    <row r="128" spans="2:11" ht="18.75" thickBot="1">
      <c r="B128" s="208"/>
      <c r="C128" s="148" t="s">
        <v>451</v>
      </c>
      <c r="D128" s="153" t="e">
        <f>SUM(D122:D127)</f>
        <v>#DIV/0!</v>
      </c>
      <c r="E128" s="154" t="e">
        <f>IF($D$18=Tablas!$C$3,'ED MADERA-VIV'!D128,'ED MADERA-OTROS'!D128)</f>
        <v>#DIV/0!</v>
      </c>
      <c r="F128" s="191" t="str">
        <f>IF('ENTRADA DE DATOS'!$D$18=Tablas!$C$3,'ED ESTANDAR-VIV'!D128,"-")</f>
        <v>-</v>
      </c>
      <c r="G128" s="142"/>
      <c r="H128" s="142"/>
      <c r="I128" s="142"/>
      <c r="J128" s="142"/>
      <c r="K128" s="208"/>
    </row>
    <row r="129" spans="2:11">
      <c r="B129" s="208"/>
      <c r="C129" s="207"/>
      <c r="D129" s="136"/>
      <c r="E129" s="149"/>
      <c r="F129" s="207"/>
      <c r="G129" s="207"/>
      <c r="H129" s="207"/>
      <c r="I129" s="208"/>
      <c r="J129" s="208"/>
      <c r="K129" s="208"/>
    </row>
  </sheetData>
  <sheetProtection algorithmName="SHA-512" hashValue="C2y5AIXJoh7+Bjx1IyAi5cqi8RnEcC/8nmXH2jdOT6bf8E+jE7StE3XvYeQfy7IWtdNkhUJXjxsGyF1/VB2dQg==" saltValue="TgSvWDp7USTrsISjrQ00sg==" spinCount="100000" sheet="1" objects="1" scenarios="1"/>
  <mergeCells count="6">
    <mergeCell ref="C2:J2"/>
    <mergeCell ref="E120:F120"/>
    <mergeCell ref="C118:F118"/>
    <mergeCell ref="D13:J13"/>
    <mergeCell ref="D14:J14"/>
    <mergeCell ref="D15:J15"/>
  </mergeCells>
  <phoneticPr fontId="6" type="noConversion"/>
  <pageMargins left="0" right="0.70866141732283472" top="0" bottom="0" header="0.31496062992125984" footer="0"/>
  <pageSetup paperSize="9" scale="39" orientation="portrait" horizontalDpi="4294967295" verticalDpi="4294967295" r:id="rId1"/>
  <drawing r:id="rId2"/>
  <legacyDrawing r:id="rId3"/>
  <extLst xmlns:x14="http://schemas.microsoft.com/office/spreadsheetml/2009/9/main">
    <ext uri="{CCE6A557-97BC-4b89-ADB6-D9C93CAAB3DF}">
      <x14:dataValidations xmlns:xm="http://schemas.microsoft.com/office/excel/2006/main" count="11">
        <x14:dataValidation type="list" allowBlank="1" showInputMessage="1" showErrorMessage="1">
          <x14:formula1>
            <xm:f>Tablas!$C$3:$C$4</xm:f>
          </x14:formula1>
          <xm:sqref>D18</xm:sqref>
        </x14:dataValidation>
        <x14:dataValidation type="list" allowBlank="1" showInputMessage="1" showErrorMessage="1">
          <x14:formula1>
            <xm:f>Tablas!$C$6:$C$10</xm:f>
          </x14:formula1>
          <xm:sqref>D37</xm:sqref>
        </x14:dataValidation>
        <x14:dataValidation type="list" allowBlank="1" showInputMessage="1" showErrorMessage="1">
          <x14:formula1>
            <xm:f>Estructura!$C$4:$C$13</xm:f>
          </x14:formula1>
          <xm:sqref>D23 G23</xm:sqref>
        </x14:dataValidation>
        <x14:dataValidation type="list" allowBlank="1" showInputMessage="1" showErrorMessage="1">
          <x14:formula1>
            <xm:f>Tablas!$C$29:$C$34</xm:f>
          </x14:formula1>
          <xm:sqref>D52 D40 D43 D46 D49 D55</xm:sqref>
        </x14:dataValidation>
        <x14:dataValidation type="list" allowBlank="1" showInputMessage="1" showErrorMessage="1">
          <x14:formula1>
            <xm:f>Tablas!$C$11:$C$20</xm:f>
          </x14:formula1>
          <xm:sqref>D86 G98 G95 G92 G89 G86 D98 D95 D92 D89</xm:sqref>
        </x14:dataValidation>
        <x14:dataValidation type="list" allowBlank="1" showInputMessage="1" showErrorMessage="1">
          <x14:formula1>
            <xm:f>Tablas!$C$21:$C$25</xm:f>
          </x14:formula1>
          <xm:sqref>D102 D105 D108 D111 D114</xm:sqref>
        </x14:dataValidation>
        <x14:dataValidation type="list" allowBlank="1" showInputMessage="1" showErrorMessage="1">
          <x14:formula1>
            <xm:f>Tablas!$C$26:$C$28</xm:f>
          </x14:formula1>
          <xm:sqref>D59 D62 D65</xm:sqref>
        </x14:dataValidation>
        <x14:dataValidation type="list" allowBlank="1" showInputMessage="1" showErrorMessage="1">
          <x14:formula1>
            <xm:f>Tablas!$C$36:$C$38</xm:f>
          </x14:formula1>
          <xm:sqref>D70 D73 D76</xm:sqref>
        </x14:dataValidation>
        <x14:dataValidation type="list" allowBlank="1" showInputMessage="1" showErrorMessage="1">
          <x14:formula1>
            <xm:f>Tablas!$C$39:$C$43</xm:f>
          </x14:formula1>
          <xm:sqref>G70 G73 G76 G79 G82</xm:sqref>
        </x14:dataValidation>
        <x14:dataValidation type="list" allowBlank="1" showInputMessage="1" showErrorMessage="1">
          <x14:formula1>
            <xm:f>Tablas!$C$44:$C$47</xm:f>
          </x14:formula1>
          <xm:sqref>J70 J73 J76 J79</xm:sqref>
        </x14:dataValidation>
        <x14:dataValidation type="list" allowBlank="1" showInputMessage="1" showErrorMessage="1">
          <x14:formula1>
            <xm:f>Aislamiento!$F$10:$J$10</xm:f>
          </x14:formula1>
          <xm:sqref>D19</xm:sqref>
        </x14:dataValidation>
      </x14:dataValidations>
    </ext>
  </extLst>
</worksheet>
</file>

<file path=xl/worksheets/sheet3.xml><?xml version="1.0" encoding="utf-8"?>
<worksheet xmlns="http://schemas.openxmlformats.org/spreadsheetml/2006/main" xmlns:r="http://schemas.openxmlformats.org/officeDocument/2006/relationships">
  <sheetPr codeName="Hoja1"/>
  <dimension ref="B2:K129"/>
  <sheetViews>
    <sheetView topLeftCell="A22" zoomScaleNormal="100" workbookViewId="0">
      <selection activeCell="E95" sqref="E95"/>
    </sheetView>
  </sheetViews>
  <sheetFormatPr baseColWidth="10" defaultColWidth="9.140625" defaultRowHeight="15"/>
  <cols>
    <col min="1" max="1" width="9.140625" style="126"/>
    <col min="2" max="2" width="3" style="126" bestFit="1" customWidth="1"/>
    <col min="3" max="3" width="44.140625" style="127" bestFit="1" customWidth="1"/>
    <col min="4" max="4" width="24.7109375" style="128" bestFit="1" customWidth="1"/>
    <col min="5" max="5" width="23.28515625" style="127" bestFit="1" customWidth="1"/>
    <col min="6" max="6" width="45.28515625" style="127" bestFit="1" customWidth="1"/>
    <col min="7" max="7" width="24.7109375" style="127" bestFit="1" customWidth="1"/>
    <col min="8" max="8" width="13.85546875" style="127" bestFit="1" customWidth="1"/>
    <col min="9" max="9" width="36" style="126" customWidth="1"/>
    <col min="10" max="10" width="16.28515625" style="126" bestFit="1" customWidth="1"/>
    <col min="11" max="11" width="3" style="126" bestFit="1" customWidth="1"/>
    <col min="12" max="16384" width="9.140625" style="126"/>
  </cols>
  <sheetData>
    <row r="2" spans="3:10" ht="21">
      <c r="C2" s="237" t="s">
        <v>559</v>
      </c>
      <c r="D2" s="238"/>
      <c r="E2" s="238"/>
      <c r="F2" s="238"/>
      <c r="G2" s="238"/>
      <c r="H2" s="238"/>
      <c r="I2" s="238"/>
      <c r="J2" s="239"/>
    </row>
    <row r="3" spans="3:10">
      <c r="C3" s="177"/>
      <c r="D3" s="158"/>
      <c r="E3" s="158" t="s">
        <v>585</v>
      </c>
      <c r="F3" s="158"/>
      <c r="G3" s="158"/>
      <c r="H3" s="158"/>
      <c r="I3" s="158"/>
      <c r="J3" s="159"/>
    </row>
    <row r="4" spans="3:10">
      <c r="C4" s="156"/>
      <c r="D4" s="157"/>
      <c r="E4" s="158"/>
      <c r="F4" s="158"/>
      <c r="G4" s="158"/>
      <c r="H4" s="158"/>
      <c r="I4" s="158"/>
      <c r="J4" s="159"/>
    </row>
    <row r="5" spans="3:10">
      <c r="C5" s="156"/>
      <c r="D5" s="157"/>
      <c r="E5" s="158"/>
      <c r="F5" s="158"/>
      <c r="G5" s="158"/>
      <c r="H5" s="158"/>
      <c r="I5" s="158"/>
      <c r="J5" s="159"/>
    </row>
    <row r="6" spans="3:10">
      <c r="C6" s="156"/>
      <c r="D6" s="157"/>
      <c r="E6" s="158"/>
      <c r="F6" s="158"/>
      <c r="G6" s="158"/>
      <c r="H6" s="158"/>
      <c r="I6" s="158"/>
      <c r="J6" s="159"/>
    </row>
    <row r="7" spans="3:10">
      <c r="C7" s="156"/>
      <c r="D7" s="157"/>
      <c r="E7" s="158"/>
      <c r="F7" s="158"/>
      <c r="G7" s="158"/>
      <c r="H7" s="158"/>
      <c r="I7" s="158"/>
      <c r="J7" s="159"/>
    </row>
    <row r="8" spans="3:10">
      <c r="C8" s="156"/>
      <c r="D8" s="157"/>
      <c r="E8" s="158"/>
      <c r="F8" s="158"/>
      <c r="G8" s="158"/>
      <c r="H8" s="158"/>
      <c r="I8" s="158"/>
      <c r="J8" s="159"/>
    </row>
    <row r="9" spans="3:10">
      <c r="C9" s="160"/>
      <c r="D9" s="161"/>
      <c r="E9" s="162"/>
      <c r="F9" s="162"/>
      <c r="G9" s="162"/>
      <c r="H9" s="162"/>
      <c r="I9" s="162"/>
      <c r="J9" s="163"/>
    </row>
    <row r="11" spans="3:10" ht="15.75">
      <c r="C11" s="166" t="s">
        <v>120</v>
      </c>
      <c r="D11" s="164"/>
      <c r="E11" s="165"/>
      <c r="F11" s="165"/>
      <c r="G11" s="165"/>
      <c r="H11" s="165"/>
      <c r="I11" s="165"/>
      <c r="J11" s="165"/>
    </row>
    <row r="12" spans="3:10" ht="15.75" thickBot="1">
      <c r="C12" s="140" t="s">
        <v>546</v>
      </c>
      <c r="D12" s="130"/>
      <c r="E12" s="126"/>
      <c r="F12" s="126"/>
      <c r="G12" s="126"/>
      <c r="H12" s="126"/>
    </row>
    <row r="13" spans="3:10" ht="15.75" thickBot="1">
      <c r="C13" s="127" t="s">
        <v>104</v>
      </c>
      <c r="D13" s="245"/>
      <c r="E13" s="246"/>
      <c r="F13" s="246"/>
      <c r="G13" s="246"/>
      <c r="H13" s="246"/>
      <c r="I13" s="246"/>
      <c r="J13" s="247"/>
    </row>
    <row r="14" spans="3:10" ht="15.75" thickBot="1">
      <c r="C14" s="127" t="s">
        <v>105</v>
      </c>
      <c r="D14" s="245"/>
      <c r="E14" s="246"/>
      <c r="F14" s="246"/>
      <c r="G14" s="246"/>
      <c r="H14" s="246"/>
      <c r="I14" s="246"/>
      <c r="J14" s="247"/>
    </row>
    <row r="15" spans="3:10" ht="15.75" thickBot="1">
      <c r="C15" s="127" t="s">
        <v>172</v>
      </c>
      <c r="D15" s="245"/>
      <c r="E15" s="246"/>
      <c r="F15" s="246"/>
      <c r="G15" s="246"/>
      <c r="H15" s="246"/>
      <c r="I15" s="246"/>
      <c r="J15" s="247"/>
    </row>
    <row r="16" spans="3:10">
      <c r="I16" s="127"/>
      <c r="J16" s="127"/>
    </row>
    <row r="17" spans="3:10" ht="16.5" thickBot="1">
      <c r="C17" s="166" t="s">
        <v>547</v>
      </c>
      <c r="D17" s="164"/>
      <c r="E17" s="165"/>
      <c r="F17" s="165"/>
      <c r="G17" s="165"/>
      <c r="H17" s="165"/>
      <c r="I17" s="165"/>
      <c r="J17" s="165"/>
    </row>
    <row r="18" spans="3:10" ht="15.75" thickBot="1">
      <c r="C18" s="126" t="s">
        <v>171</v>
      </c>
      <c r="D18" s="124">
        <f>'ENTRADA DE DATOS'!D18</f>
        <v>0</v>
      </c>
      <c r="I18" s="127"/>
      <c r="J18" s="127"/>
    </row>
    <row r="19" spans="3:10" ht="15.75" thickBot="1">
      <c r="C19" s="130" t="s">
        <v>440</v>
      </c>
      <c r="D19" s="124">
        <f>'ENTRADA DE DATOS'!D19</f>
        <v>0</v>
      </c>
      <c r="E19" s="126"/>
      <c r="F19" s="126"/>
      <c r="G19" s="126"/>
      <c r="H19" s="126"/>
    </row>
    <row r="20" spans="3:10" ht="15.75" thickBot="1">
      <c r="C20" s="130" t="s">
        <v>581</v>
      </c>
      <c r="D20" s="124">
        <f>'ENTRADA DE DATOS'!D20</f>
        <v>0</v>
      </c>
      <c r="E20" s="126"/>
      <c r="F20" s="126"/>
      <c r="G20" s="126"/>
      <c r="H20" s="126"/>
    </row>
    <row r="21" spans="3:10">
      <c r="C21" s="130"/>
      <c r="D21" s="126"/>
      <c r="E21" s="126"/>
      <c r="F21" s="126"/>
      <c r="G21" s="126"/>
      <c r="H21" s="126"/>
    </row>
    <row r="22" spans="3:10" ht="30.75" thickBot="1">
      <c r="C22" s="131" t="s">
        <v>421</v>
      </c>
      <c r="D22" s="126"/>
      <c r="E22" s="126"/>
      <c r="F22" s="131" t="s">
        <v>422</v>
      </c>
      <c r="G22" s="126"/>
      <c r="H22" s="126"/>
    </row>
    <row r="23" spans="3:10" ht="15.75" thickBot="1">
      <c r="C23" s="127" t="s">
        <v>419</v>
      </c>
      <c r="D23" s="124">
        <f>'ENTRADA DE DATOS'!D23</f>
        <v>0</v>
      </c>
      <c r="F23" s="127" t="s">
        <v>420</v>
      </c>
      <c r="G23" s="124">
        <f>'ENTRADA DE DATOS'!G23</f>
        <v>0</v>
      </c>
      <c r="I23" s="127"/>
      <c r="J23" s="127"/>
    </row>
    <row r="24" spans="3:10" ht="15.75" thickBot="1">
      <c r="C24" s="127" t="s">
        <v>550</v>
      </c>
      <c r="D24" s="124">
        <f>'ENTRADA DE DATOS'!D24</f>
        <v>0</v>
      </c>
      <c r="F24" s="127" t="s">
        <v>582</v>
      </c>
      <c r="G24" s="124">
        <f>'ENTRADA DE DATOS'!G24</f>
        <v>0</v>
      </c>
      <c r="I24" s="127"/>
      <c r="J24" s="127"/>
    </row>
    <row r="25" spans="3:10" ht="15.75" thickBot="1">
      <c r="C25" s="127" t="s">
        <v>549</v>
      </c>
      <c r="D25" s="124">
        <f>'ENTRADA DE DATOS'!D25</f>
        <v>0</v>
      </c>
      <c r="F25" s="127" t="s">
        <v>583</v>
      </c>
      <c r="G25" s="124">
        <f>'ENTRADA DE DATOS'!G25</f>
        <v>0</v>
      </c>
      <c r="I25" s="127"/>
      <c r="J25" s="127"/>
    </row>
    <row r="26" spans="3:10" ht="15.75" thickBot="1">
      <c r="C26" s="127" t="s">
        <v>551</v>
      </c>
      <c r="D26" s="124">
        <f>'ENTRADA DE DATOS'!D26</f>
        <v>0</v>
      </c>
      <c r="F26" s="127" t="s">
        <v>424</v>
      </c>
      <c r="G26" s="124">
        <f>'ENTRADA DE DATOS'!G26</f>
        <v>0</v>
      </c>
      <c r="I26" s="127"/>
      <c r="J26" s="127"/>
    </row>
    <row r="27" spans="3:10" ht="15.75" thickBot="1">
      <c r="C27" s="127" t="s">
        <v>552</v>
      </c>
      <c r="D27" s="124">
        <f>'ENTRADA DE DATOS'!D27</f>
        <v>0</v>
      </c>
      <c r="F27" s="127" t="s">
        <v>425</v>
      </c>
      <c r="G27" s="124">
        <f>'ENTRADA DE DATOS'!G27</f>
        <v>0</v>
      </c>
      <c r="I27" s="127"/>
      <c r="J27" s="127"/>
    </row>
    <row r="28" spans="3:10" ht="15.75" thickBot="1">
      <c r="C28" s="127" t="s">
        <v>553</v>
      </c>
      <c r="D28" s="124">
        <f>'ENTRADA DE DATOS'!D28</f>
        <v>0</v>
      </c>
      <c r="F28" s="127" t="s">
        <v>426</v>
      </c>
      <c r="G28" s="124">
        <f>'ENTRADA DE DATOS'!G28</f>
        <v>0</v>
      </c>
      <c r="I28" s="127"/>
      <c r="J28" s="127"/>
    </row>
    <row r="29" spans="3:10" ht="15.75" thickBot="1">
      <c r="C29" s="127" t="s">
        <v>554</v>
      </c>
      <c r="D29" s="124">
        <f>'ENTRADA DE DATOS'!D29</f>
        <v>0</v>
      </c>
      <c r="F29" s="127" t="s">
        <v>427</v>
      </c>
      <c r="G29" s="124">
        <f>'ENTRADA DE DATOS'!G29</f>
        <v>0</v>
      </c>
      <c r="I29" s="127"/>
      <c r="J29" s="127"/>
    </row>
    <row r="30" spans="3:10" ht="15.75" thickBot="1">
      <c r="C30" s="127" t="s">
        <v>555</v>
      </c>
      <c r="D30" s="124">
        <f>'ENTRADA DE DATOS'!D30</f>
        <v>0</v>
      </c>
      <c r="F30" s="127" t="s">
        <v>428</v>
      </c>
      <c r="G30" s="124">
        <f>'ENTRADA DE DATOS'!G30</f>
        <v>0</v>
      </c>
      <c r="I30" s="127"/>
      <c r="J30" s="127"/>
    </row>
    <row r="31" spans="3:10" ht="15.75" thickBot="1">
      <c r="C31" s="127" t="s">
        <v>556</v>
      </c>
      <c r="D31" s="124">
        <f>'ENTRADA DE DATOS'!D31</f>
        <v>0</v>
      </c>
      <c r="F31" s="127" t="s">
        <v>429</v>
      </c>
      <c r="G31" s="124">
        <f>'ENTRADA DE DATOS'!G31</f>
        <v>0</v>
      </c>
      <c r="I31" s="127"/>
      <c r="J31" s="127"/>
    </row>
    <row r="32" spans="3:10" ht="15.75" thickBot="1">
      <c r="C32" s="127" t="s">
        <v>557</v>
      </c>
      <c r="D32" s="124">
        <f>'ENTRADA DE DATOS'!D32</f>
        <v>0</v>
      </c>
      <c r="F32" s="127" t="s">
        <v>430</v>
      </c>
      <c r="G32" s="124">
        <f>'ENTRADA DE DATOS'!G32</f>
        <v>0</v>
      </c>
      <c r="I32" s="127"/>
      <c r="J32" s="127"/>
    </row>
    <row r="33" spans="3:10" ht="15.75" thickBot="1">
      <c r="C33" s="126" t="s">
        <v>558</v>
      </c>
      <c r="D33" s="124">
        <f>'ENTRADA DE DATOS'!D33</f>
        <v>0</v>
      </c>
      <c r="F33" s="127" t="s">
        <v>431</v>
      </c>
      <c r="G33" s="124">
        <f>'ENTRADA DE DATOS'!G33</f>
        <v>0</v>
      </c>
      <c r="I33" s="127"/>
      <c r="J33" s="127"/>
    </row>
    <row r="34" spans="3:10" ht="15.75" thickBot="1">
      <c r="C34" s="127" t="s">
        <v>432</v>
      </c>
      <c r="D34" s="124">
        <f>'ENTRADA DE DATOS'!D34</f>
        <v>0</v>
      </c>
      <c r="F34" s="127" t="s">
        <v>432</v>
      </c>
      <c r="G34" s="124">
        <f>'ENTRADA DE DATOS'!G34</f>
        <v>0</v>
      </c>
      <c r="I34" s="127"/>
      <c r="J34" s="127"/>
    </row>
    <row r="35" spans="3:10">
      <c r="C35" s="132"/>
      <c r="I35" s="127"/>
      <c r="J35" s="127"/>
    </row>
    <row r="36" spans="3:10" ht="16.5" thickBot="1">
      <c r="C36" s="166" t="s">
        <v>106</v>
      </c>
      <c r="D36" s="164"/>
      <c r="E36" s="165"/>
      <c r="F36" s="165"/>
      <c r="G36" s="165"/>
      <c r="H36" s="165"/>
      <c r="I36" s="165"/>
      <c r="J36" s="165"/>
    </row>
    <row r="37" spans="3:10" ht="15.75" thickBot="1">
      <c r="C37" s="133" t="s">
        <v>446</v>
      </c>
      <c r="D37" s="134" t="s">
        <v>415</v>
      </c>
      <c r="I37" s="127"/>
      <c r="J37" s="127"/>
    </row>
    <row r="38" spans="3:10" s="137" customFormat="1">
      <c r="C38" s="135"/>
      <c r="D38" s="136"/>
      <c r="E38" s="135"/>
      <c r="F38" s="135"/>
      <c r="G38" s="135"/>
      <c r="H38" s="135"/>
      <c r="I38" s="135"/>
      <c r="J38" s="135"/>
    </row>
    <row r="39" spans="3:10" ht="16.5" thickBot="1">
      <c r="C39" s="166" t="s">
        <v>173</v>
      </c>
      <c r="D39" s="164"/>
      <c r="E39" s="165"/>
      <c r="F39" s="165"/>
      <c r="G39" s="165"/>
      <c r="H39" s="165"/>
      <c r="I39" s="165"/>
      <c r="J39" s="165"/>
    </row>
    <row r="40" spans="3:10" ht="15.75" thickBot="1">
      <c r="C40" s="126" t="s">
        <v>123</v>
      </c>
      <c r="D40" s="129" t="s">
        <v>130</v>
      </c>
      <c r="E40" s="126"/>
      <c r="F40" s="126"/>
      <c r="G40" s="126"/>
      <c r="H40" s="126"/>
    </row>
    <row r="41" spans="3:10" ht="18" thickBot="1">
      <c r="C41" s="137" t="s">
        <v>166</v>
      </c>
      <c r="D41" s="124">
        <f>'ENTRADA DE DATOS'!D41+'ENTRADA DE DATOS'!D44+'ENTRADA DE DATOS'!D47+'ENTRADA DE DATOS'!D50+'ENTRADA DE DATOS'!D53+'ENTRADA DE DATOS'!D56</f>
        <v>0</v>
      </c>
      <c r="E41" s="126"/>
      <c r="F41" s="126"/>
      <c r="G41" s="126"/>
      <c r="H41" s="126"/>
    </row>
    <row r="42" spans="3:10" ht="15.75" thickBot="1">
      <c r="C42" s="137"/>
      <c r="D42" s="130"/>
      <c r="E42" s="126"/>
      <c r="F42" s="126"/>
      <c r="G42" s="126"/>
      <c r="H42" s="126"/>
    </row>
    <row r="43" spans="3:10" ht="15.75" thickBot="1">
      <c r="C43" s="126" t="s">
        <v>124</v>
      </c>
      <c r="D43" s="129"/>
      <c r="E43" s="126"/>
      <c r="F43" s="126"/>
      <c r="G43" s="126"/>
      <c r="H43" s="126"/>
    </row>
    <row r="44" spans="3:10" ht="18" thickBot="1">
      <c r="C44" s="137" t="s">
        <v>167</v>
      </c>
      <c r="D44" s="129"/>
      <c r="E44" s="126"/>
      <c r="F44" s="126"/>
      <c r="G44" s="126"/>
      <c r="H44" s="126"/>
    </row>
    <row r="45" spans="3:10" ht="15.75" thickBot="1">
      <c r="C45" s="137"/>
      <c r="D45" s="138"/>
      <c r="E45" s="126"/>
      <c r="F45" s="126"/>
      <c r="G45" s="126"/>
      <c r="H45" s="126"/>
    </row>
    <row r="46" spans="3:10" ht="15.75" thickBot="1">
      <c r="C46" s="126" t="s">
        <v>125</v>
      </c>
      <c r="D46" s="129"/>
      <c r="E46" s="126"/>
      <c r="F46" s="126"/>
      <c r="G46" s="126"/>
      <c r="H46" s="126"/>
    </row>
    <row r="47" spans="3:10" ht="18" thickBot="1">
      <c r="C47" s="137" t="s">
        <v>168</v>
      </c>
      <c r="D47" s="129"/>
      <c r="E47" s="126"/>
      <c r="F47" s="126"/>
      <c r="G47" s="126"/>
      <c r="H47" s="126"/>
    </row>
    <row r="48" spans="3:10" ht="15.75" thickBot="1">
      <c r="C48" s="137"/>
      <c r="D48" s="138"/>
      <c r="E48" s="126"/>
      <c r="F48" s="126"/>
      <c r="G48" s="126"/>
      <c r="H48" s="126"/>
    </row>
    <row r="49" spans="3:10" ht="15.75" thickBot="1">
      <c r="C49" s="126" t="s">
        <v>157</v>
      </c>
      <c r="D49" s="129"/>
      <c r="E49" s="126"/>
      <c r="F49" s="126"/>
      <c r="G49" s="126"/>
      <c r="H49" s="126"/>
    </row>
    <row r="50" spans="3:10" ht="18" thickBot="1">
      <c r="C50" s="137" t="s">
        <v>170</v>
      </c>
      <c r="D50" s="129"/>
      <c r="E50" s="126"/>
      <c r="F50" s="126"/>
      <c r="G50" s="126"/>
      <c r="H50" s="126"/>
    </row>
    <row r="51" spans="3:10" ht="15.75" thickBot="1">
      <c r="C51" s="137"/>
      <c r="D51" s="138"/>
      <c r="E51" s="126"/>
      <c r="F51" s="126"/>
      <c r="G51" s="126"/>
      <c r="H51" s="126"/>
    </row>
    <row r="52" spans="3:10" ht="15.75" thickBot="1">
      <c r="C52" s="126" t="s">
        <v>158</v>
      </c>
      <c r="D52" s="129"/>
      <c r="E52" s="126"/>
      <c r="F52" s="126"/>
      <c r="G52" s="126"/>
      <c r="H52" s="126"/>
    </row>
    <row r="53" spans="3:10" ht="18" thickBot="1">
      <c r="C53" s="137" t="s">
        <v>169</v>
      </c>
      <c r="D53" s="129"/>
      <c r="E53" s="126"/>
      <c r="F53" s="126"/>
      <c r="G53" s="126"/>
      <c r="H53" s="126"/>
    </row>
    <row r="54" spans="3:10" ht="15.75" thickBot="1">
      <c r="C54" s="137"/>
      <c r="D54" s="138"/>
      <c r="E54" s="126"/>
      <c r="F54" s="126"/>
      <c r="G54" s="126"/>
      <c r="H54" s="126"/>
    </row>
    <row r="55" spans="3:10" ht="15.75" thickBot="1">
      <c r="C55" s="126" t="s">
        <v>540</v>
      </c>
      <c r="D55" s="129"/>
      <c r="E55" s="126"/>
      <c r="F55" s="126"/>
      <c r="G55" s="126"/>
      <c r="H55" s="126"/>
    </row>
    <row r="56" spans="3:10" ht="18" thickBot="1">
      <c r="C56" s="137" t="s">
        <v>541</v>
      </c>
      <c r="D56" s="129"/>
      <c r="E56" s="126"/>
      <c r="F56" s="126"/>
      <c r="G56" s="126"/>
      <c r="H56" s="126"/>
    </row>
    <row r="57" spans="3:10">
      <c r="C57" s="137"/>
      <c r="D57" s="138"/>
      <c r="E57" s="126"/>
      <c r="F57" s="126"/>
      <c r="G57" s="126"/>
      <c r="H57" s="126"/>
    </row>
    <row r="58" spans="3:10" ht="16.5" thickBot="1">
      <c r="C58" s="167" t="s">
        <v>575</v>
      </c>
      <c r="D58" s="164"/>
      <c r="E58" s="165"/>
      <c r="F58" s="165"/>
      <c r="G58" s="165"/>
      <c r="H58" s="165"/>
      <c r="I58" s="165"/>
      <c r="J58" s="165"/>
    </row>
    <row r="59" spans="3:10" ht="15.75" thickBot="1">
      <c r="C59" s="127" t="s">
        <v>128</v>
      </c>
      <c r="D59" s="129" t="s">
        <v>116</v>
      </c>
    </row>
    <row r="60" spans="3:10" ht="15.75" thickBot="1">
      <c r="C60" s="127" t="s">
        <v>416</v>
      </c>
      <c r="D60" s="139">
        <f>'ENTRADA DE DATOS'!D60+'ENTRADA DE DATOS'!D63+'ENTRADA DE DATOS'!D66</f>
        <v>0</v>
      </c>
    </row>
    <row r="61" spans="3:10" ht="15.75" thickBot="1">
      <c r="D61" s="136"/>
    </row>
    <row r="62" spans="3:10" ht="15.75" thickBot="1">
      <c r="C62" s="127" t="s">
        <v>128</v>
      </c>
      <c r="D62" s="129"/>
    </row>
    <row r="63" spans="3:10" ht="15.75" thickBot="1">
      <c r="C63" s="127" t="s">
        <v>417</v>
      </c>
      <c r="D63" s="139"/>
    </row>
    <row r="64" spans="3:10" ht="15.75" thickBot="1">
      <c r="D64" s="136"/>
    </row>
    <row r="65" spans="3:10" ht="15.75" thickBot="1">
      <c r="C65" s="127" t="s">
        <v>128</v>
      </c>
      <c r="D65" s="129"/>
    </row>
    <row r="66" spans="3:10" ht="15.75" thickBot="1">
      <c r="C66" s="127" t="s">
        <v>418</v>
      </c>
      <c r="D66" s="139"/>
    </row>
    <row r="67" spans="3:10">
      <c r="D67" s="136"/>
    </row>
    <row r="68" spans="3:10" ht="15.75">
      <c r="C68" s="167" t="s">
        <v>433</v>
      </c>
      <c r="D68" s="164"/>
      <c r="E68" s="165"/>
      <c r="F68" s="165"/>
      <c r="G68" s="165"/>
      <c r="H68" s="165"/>
      <c r="I68" s="165"/>
      <c r="J68" s="165"/>
    </row>
    <row r="69" spans="3:10" ht="30.75" thickBot="1">
      <c r="C69" s="179" t="s">
        <v>460</v>
      </c>
      <c r="D69" s="130"/>
      <c r="E69" s="126"/>
      <c r="F69" s="180" t="s">
        <v>461</v>
      </c>
      <c r="G69" s="126"/>
      <c r="H69" s="126"/>
      <c r="I69" s="178" t="s">
        <v>584</v>
      </c>
    </row>
    <row r="70" spans="3:10" ht="15.75" thickBot="1">
      <c r="C70" s="127" t="s">
        <v>128</v>
      </c>
      <c r="D70" s="134" t="s">
        <v>598</v>
      </c>
      <c r="F70" s="127" t="s">
        <v>128</v>
      </c>
      <c r="G70" s="134" t="s">
        <v>597</v>
      </c>
      <c r="I70" s="127" t="s">
        <v>128</v>
      </c>
      <c r="J70" s="134" t="s">
        <v>598</v>
      </c>
    </row>
    <row r="71" spans="3:10" ht="15.75" thickBot="1">
      <c r="C71" s="127" t="s">
        <v>437</v>
      </c>
      <c r="D71" s="139">
        <f>'ENTRADA DE DATOS'!D71+'ENTRADA DE DATOS'!D74+'ENTRADA DE DATOS'!D77</f>
        <v>0</v>
      </c>
      <c r="F71" s="127" t="s">
        <v>437</v>
      </c>
      <c r="G71" s="139">
        <f>'ENTRADA DE DATOS'!G71+'ENTRADA DE DATOS'!G74+'ENTRADA DE DATOS'!G77+'ENTRADA DE DATOS'!G80+'ENTRADA DE DATOS'!G83</f>
        <v>0</v>
      </c>
      <c r="I71" s="127" t="s">
        <v>437</v>
      </c>
      <c r="J71" s="139">
        <f>'ENTRADA DE DATOS'!J71+'ENTRADA DE DATOS'!J74+'ENTRADA DE DATOS'!J77+'ENTRADA DE DATOS'!J80</f>
        <v>0</v>
      </c>
    </row>
    <row r="72" spans="3:10" ht="15.75" thickBot="1">
      <c r="D72" s="136"/>
      <c r="G72" s="136"/>
      <c r="I72" s="127"/>
      <c r="J72" s="136"/>
    </row>
    <row r="73" spans="3:10" ht="15.75" thickBot="1">
      <c r="C73" s="127" t="s">
        <v>128</v>
      </c>
      <c r="D73" s="134"/>
      <c r="F73" s="127" t="s">
        <v>128</v>
      </c>
      <c r="G73" s="134"/>
      <c r="I73" s="127" t="s">
        <v>128</v>
      </c>
      <c r="J73" s="134"/>
    </row>
    <row r="74" spans="3:10" ht="15.75" thickBot="1">
      <c r="C74" s="127" t="s">
        <v>438</v>
      </c>
      <c r="D74" s="139"/>
      <c r="F74" s="127" t="s">
        <v>438</v>
      </c>
      <c r="G74" s="139"/>
      <c r="I74" s="127" t="s">
        <v>438</v>
      </c>
      <c r="J74" s="139"/>
    </row>
    <row r="75" spans="3:10" ht="15.75" thickBot="1">
      <c r="D75" s="136"/>
      <c r="G75" s="136"/>
      <c r="I75" s="127"/>
      <c r="J75" s="136"/>
    </row>
    <row r="76" spans="3:10" ht="15.75" thickBot="1">
      <c r="C76" s="127" t="s">
        <v>128</v>
      </c>
      <c r="D76" s="134"/>
      <c r="F76" s="127" t="s">
        <v>128</v>
      </c>
      <c r="G76" s="134"/>
      <c r="I76" s="127" t="s">
        <v>128</v>
      </c>
      <c r="J76" s="134"/>
    </row>
    <row r="77" spans="3:10" ht="15.75" thickBot="1">
      <c r="C77" s="127" t="s">
        <v>439</v>
      </c>
      <c r="D77" s="139"/>
      <c r="F77" s="127" t="s">
        <v>439</v>
      </c>
      <c r="G77" s="139"/>
      <c r="I77" s="127" t="s">
        <v>439</v>
      </c>
      <c r="J77" s="139"/>
    </row>
    <row r="78" spans="3:10" ht="15.75" thickBot="1">
      <c r="D78" s="136"/>
      <c r="G78" s="136"/>
      <c r="I78" s="127"/>
      <c r="J78" s="136"/>
    </row>
    <row r="79" spans="3:10" ht="15.75" thickBot="1">
      <c r="D79" s="136"/>
      <c r="F79" s="127" t="s">
        <v>128</v>
      </c>
      <c r="G79" s="134"/>
      <c r="I79" s="127" t="s">
        <v>128</v>
      </c>
      <c r="J79" s="134"/>
    </row>
    <row r="80" spans="3:10" ht="15.75" thickBot="1">
      <c r="D80" s="136"/>
      <c r="F80" s="127" t="s">
        <v>462</v>
      </c>
      <c r="G80" s="139"/>
      <c r="I80" s="127" t="s">
        <v>462</v>
      </c>
      <c r="J80" s="139"/>
    </row>
    <row r="81" spans="3:10" ht="15.75" thickBot="1">
      <c r="D81" s="136"/>
      <c r="G81" s="136"/>
      <c r="I81" s="127"/>
      <c r="J81" s="136"/>
    </row>
    <row r="82" spans="3:10" ht="15.75" thickBot="1">
      <c r="D82" s="136"/>
      <c r="F82" s="127" t="s">
        <v>128</v>
      </c>
      <c r="G82" s="134"/>
      <c r="I82" s="127"/>
      <c r="J82" s="136"/>
    </row>
    <row r="83" spans="3:10" ht="15.75" thickBot="1">
      <c r="D83" s="136"/>
      <c r="F83" s="127" t="s">
        <v>535</v>
      </c>
      <c r="G83" s="139"/>
      <c r="I83" s="127"/>
      <c r="J83" s="136"/>
    </row>
    <row r="84" spans="3:10">
      <c r="D84" s="136"/>
      <c r="G84" s="136"/>
      <c r="I84" s="127"/>
      <c r="J84" s="136"/>
    </row>
    <row r="85" spans="3:10" ht="16.5" thickBot="1">
      <c r="C85" s="166" t="s">
        <v>108</v>
      </c>
      <c r="D85" s="164"/>
      <c r="E85" s="165"/>
      <c r="F85" s="165"/>
      <c r="G85" s="165"/>
      <c r="H85" s="165"/>
      <c r="I85" s="165"/>
      <c r="J85" s="165"/>
    </row>
    <row r="86" spans="3:10" ht="15.75" thickBot="1">
      <c r="C86" s="173" t="s">
        <v>560</v>
      </c>
      <c r="D86" s="129" t="s">
        <v>33</v>
      </c>
      <c r="F86" s="137" t="s">
        <v>572</v>
      </c>
      <c r="G86" s="129" t="s">
        <v>43</v>
      </c>
      <c r="I86" s="127"/>
      <c r="J86" s="127"/>
    </row>
    <row r="87" spans="3:10" ht="18" thickBot="1">
      <c r="C87" s="174" t="s">
        <v>561</v>
      </c>
      <c r="D87" s="134">
        <f>'ENTRADA DE DATOS'!D87</f>
        <v>0</v>
      </c>
      <c r="F87" s="137" t="s">
        <v>566</v>
      </c>
      <c r="G87" s="134">
        <f>'ENTRADA DE DATOS'!G87</f>
        <v>0</v>
      </c>
      <c r="I87" s="127"/>
      <c r="J87" s="127"/>
    </row>
    <row r="88" spans="3:10" ht="15.75" thickBot="1">
      <c r="C88" s="174"/>
      <c r="D88" s="175"/>
      <c r="G88" s="135"/>
      <c r="I88" s="127"/>
      <c r="J88" s="127"/>
    </row>
    <row r="89" spans="3:10" ht="15.75" thickBot="1">
      <c r="C89" s="174" t="s">
        <v>562</v>
      </c>
      <c r="D89" s="129" t="s">
        <v>43</v>
      </c>
      <c r="F89" s="137" t="s">
        <v>161</v>
      </c>
      <c r="G89" s="129" t="s">
        <v>43</v>
      </c>
      <c r="I89" s="127"/>
      <c r="J89" s="127"/>
    </row>
    <row r="90" spans="3:10" ht="18" thickBot="1">
      <c r="C90" s="176" t="s">
        <v>563</v>
      </c>
      <c r="D90" s="134">
        <f>'ENTRADA DE DATOS'!D90</f>
        <v>0</v>
      </c>
      <c r="F90" s="137" t="s">
        <v>567</v>
      </c>
      <c r="G90" s="134">
        <f>'ENTRADA DE DATOS'!G90</f>
        <v>0</v>
      </c>
      <c r="I90" s="127"/>
      <c r="J90" s="127"/>
    </row>
    <row r="91" spans="3:10" ht="15.75" thickBot="1">
      <c r="D91" s="136"/>
      <c r="G91" s="135"/>
      <c r="I91" s="127"/>
      <c r="J91" s="127"/>
    </row>
    <row r="92" spans="3:10" ht="15.75" thickBot="1">
      <c r="C92" s="137" t="s">
        <v>544</v>
      </c>
      <c r="D92" s="129" t="s">
        <v>43</v>
      </c>
      <c r="F92" s="137" t="s">
        <v>162</v>
      </c>
      <c r="G92" s="129" t="s">
        <v>43</v>
      </c>
      <c r="I92" s="127"/>
      <c r="J92" s="127"/>
    </row>
    <row r="93" spans="3:10" ht="18" thickBot="1">
      <c r="C93" s="137" t="s">
        <v>165</v>
      </c>
      <c r="D93" s="134">
        <f>'ENTRADA DE DATOS'!D93</f>
        <v>0</v>
      </c>
      <c r="F93" s="137" t="s">
        <v>568</v>
      </c>
      <c r="G93" s="134">
        <f>'ENTRADA DE DATOS'!G93</f>
        <v>0</v>
      </c>
      <c r="I93" s="127"/>
      <c r="J93" s="127"/>
    </row>
    <row r="94" spans="3:10" ht="15.75" thickBot="1">
      <c r="D94" s="136"/>
      <c r="G94" s="135"/>
      <c r="I94" s="127"/>
      <c r="J94" s="127"/>
    </row>
    <row r="95" spans="3:10" ht="15.75" thickBot="1">
      <c r="C95" s="137" t="s">
        <v>159</v>
      </c>
      <c r="D95" s="129" t="s">
        <v>43</v>
      </c>
      <c r="F95" s="137" t="s">
        <v>163</v>
      </c>
      <c r="G95" s="129" t="s">
        <v>43</v>
      </c>
      <c r="I95" s="127"/>
      <c r="J95" s="127"/>
    </row>
    <row r="96" spans="3:10" ht="18" thickBot="1">
      <c r="C96" s="137" t="s">
        <v>564</v>
      </c>
      <c r="D96" s="134">
        <f>'ENTRADA DE DATOS'!D96</f>
        <v>0</v>
      </c>
      <c r="F96" s="137" t="s">
        <v>569</v>
      </c>
      <c r="G96" s="134">
        <f>'ENTRADA DE DATOS'!G96</f>
        <v>0</v>
      </c>
      <c r="I96" s="127"/>
      <c r="J96" s="127"/>
    </row>
    <row r="97" spans="3:10" ht="15.75" thickBot="1">
      <c r="D97" s="136"/>
      <c r="F97" s="137"/>
      <c r="G97" s="135"/>
      <c r="I97" s="127"/>
      <c r="J97" s="127"/>
    </row>
    <row r="98" spans="3:10" ht="15.75" thickBot="1">
      <c r="C98" s="137" t="s">
        <v>160</v>
      </c>
      <c r="D98" s="129" t="s">
        <v>43</v>
      </c>
      <c r="F98" s="137" t="s">
        <v>164</v>
      </c>
      <c r="G98" s="129" t="s">
        <v>43</v>
      </c>
      <c r="I98" s="127"/>
      <c r="J98" s="127"/>
    </row>
    <row r="99" spans="3:10" ht="18" thickBot="1">
      <c r="C99" s="137" t="s">
        <v>565</v>
      </c>
      <c r="D99" s="134">
        <f>'ENTRADA DE DATOS'!D99</f>
        <v>0</v>
      </c>
      <c r="F99" s="137" t="s">
        <v>570</v>
      </c>
      <c r="G99" s="134">
        <f>'ENTRADA DE DATOS'!G99</f>
        <v>0</v>
      </c>
      <c r="I99" s="127"/>
      <c r="J99" s="127"/>
    </row>
    <row r="100" spans="3:10">
      <c r="D100" s="136"/>
      <c r="I100" s="127"/>
      <c r="J100" s="127"/>
    </row>
    <row r="101" spans="3:10" ht="16.5" thickBot="1">
      <c r="C101" s="166" t="s">
        <v>109</v>
      </c>
      <c r="D101" s="164"/>
      <c r="E101" s="165"/>
      <c r="F101" s="165"/>
      <c r="G101" s="165"/>
      <c r="H101" s="165"/>
      <c r="I101" s="165"/>
      <c r="J101" s="165"/>
    </row>
    <row r="102" spans="3:10" ht="15.75" thickBot="1">
      <c r="C102" s="173" t="s">
        <v>590</v>
      </c>
      <c r="D102" s="129" t="s">
        <v>270</v>
      </c>
      <c r="I102" s="127"/>
      <c r="J102" s="127"/>
    </row>
    <row r="103" spans="3:10" ht="15.75" thickBot="1">
      <c r="C103" s="181" t="s">
        <v>589</v>
      </c>
      <c r="D103" s="139">
        <v>890</v>
      </c>
      <c r="I103" s="127"/>
      <c r="J103" s="127"/>
    </row>
    <row r="104" spans="3:10" ht="15.75" thickBot="1">
      <c r="C104" s="181"/>
      <c r="D104" s="175"/>
      <c r="I104" s="127"/>
      <c r="J104" s="127"/>
    </row>
    <row r="105" spans="3:10" ht="15.75" thickBot="1">
      <c r="C105" s="181" t="s">
        <v>591</v>
      </c>
      <c r="D105" s="129" t="s">
        <v>113</v>
      </c>
      <c r="I105" s="127"/>
      <c r="J105" s="127"/>
    </row>
    <row r="106" spans="3:10" ht="15.75" thickBot="1">
      <c r="C106" s="182" t="s">
        <v>592</v>
      </c>
      <c r="D106" s="139">
        <v>2217</v>
      </c>
      <c r="I106" s="127"/>
      <c r="J106" s="127"/>
    </row>
    <row r="107" spans="3:10" ht="15.75" thickBot="1">
      <c r="D107" s="136"/>
      <c r="I107" s="127"/>
      <c r="J107" s="127"/>
    </row>
    <row r="108" spans="3:10" ht="15.75" thickBot="1">
      <c r="C108" s="137" t="s">
        <v>545</v>
      </c>
      <c r="D108" s="129" t="s">
        <v>113</v>
      </c>
      <c r="I108" s="127"/>
      <c r="J108" s="127"/>
    </row>
    <row r="109" spans="3:10" ht="15.75" thickBot="1">
      <c r="C109" s="127" t="s">
        <v>126</v>
      </c>
      <c r="D109" s="134">
        <f>'ENTRADA DE DATOS'!D109</f>
        <v>0</v>
      </c>
      <c r="I109" s="127"/>
      <c r="J109" s="127"/>
    </row>
    <row r="110" spans="3:10" ht="15.75" thickBot="1">
      <c r="D110" s="136"/>
      <c r="I110" s="127"/>
      <c r="J110" s="127"/>
    </row>
    <row r="111" spans="3:10" ht="15.75" thickBot="1">
      <c r="C111" s="137" t="s">
        <v>174</v>
      </c>
      <c r="D111" s="129" t="s">
        <v>113</v>
      </c>
      <c r="I111" s="127"/>
      <c r="J111" s="127"/>
    </row>
    <row r="112" spans="3:10" ht="15.75" thickBot="1">
      <c r="C112" s="127" t="s">
        <v>176</v>
      </c>
      <c r="D112" s="134">
        <f>'ENTRADA DE DATOS'!D112</f>
        <v>0</v>
      </c>
      <c r="I112" s="127"/>
      <c r="J112" s="127"/>
    </row>
    <row r="113" spans="2:11" ht="15.75" thickBot="1">
      <c r="D113" s="136"/>
      <c r="I113" s="127"/>
      <c r="J113" s="127"/>
    </row>
    <row r="114" spans="2:11" ht="15.75" thickBot="1">
      <c r="C114" s="137" t="s">
        <v>175</v>
      </c>
      <c r="D114" s="129" t="s">
        <v>113</v>
      </c>
      <c r="I114" s="127"/>
      <c r="J114" s="127"/>
    </row>
    <row r="115" spans="2:11" ht="15.75" thickBot="1">
      <c r="C115" s="127" t="s">
        <v>177</v>
      </c>
      <c r="D115" s="134">
        <f>'ENTRADA DE DATOS'!D115</f>
        <v>0</v>
      </c>
      <c r="I115" s="127"/>
      <c r="J115" s="127"/>
    </row>
    <row r="116" spans="2:11" ht="15.75" thickBot="1">
      <c r="D116" s="136"/>
      <c r="I116" s="127"/>
      <c r="J116" s="127"/>
    </row>
    <row r="117" spans="2:11" ht="15.75">
      <c r="B117" s="137"/>
      <c r="C117" s="168" t="s">
        <v>110</v>
      </c>
      <c r="D117" s="187"/>
      <c r="E117" s="137"/>
      <c r="F117" s="137"/>
      <c r="G117" s="137"/>
      <c r="H117" s="137"/>
      <c r="I117" s="137"/>
      <c r="J117" s="137"/>
      <c r="K117" s="137"/>
    </row>
    <row r="118" spans="2:11" ht="27.75" customHeight="1">
      <c r="B118" s="137"/>
      <c r="C118" s="249" t="s">
        <v>571</v>
      </c>
      <c r="D118" s="250"/>
      <c r="E118" s="184"/>
      <c r="F118" s="184"/>
      <c r="G118" s="137"/>
      <c r="H118" s="137"/>
      <c r="I118" s="137"/>
      <c r="J118" s="137"/>
      <c r="K118" s="137"/>
    </row>
    <row r="119" spans="2:11">
      <c r="B119" s="137"/>
      <c r="C119" s="169"/>
      <c r="D119" s="172"/>
      <c r="E119" s="185"/>
      <c r="F119" s="185"/>
      <c r="G119" s="137"/>
      <c r="H119" s="137"/>
      <c r="I119" s="137"/>
      <c r="J119" s="137"/>
      <c r="K119" s="137"/>
    </row>
    <row r="120" spans="2:11">
      <c r="B120" s="137"/>
      <c r="C120" s="170"/>
      <c r="D120" s="188"/>
      <c r="E120" s="248"/>
      <c r="F120" s="248"/>
      <c r="G120" s="142"/>
      <c r="H120" s="142"/>
      <c r="I120" s="142"/>
      <c r="J120" s="142"/>
      <c r="K120" s="137"/>
    </row>
    <row r="121" spans="2:11" ht="42" customHeight="1">
      <c r="B121" s="137"/>
      <c r="C121" s="171"/>
      <c r="D121" s="145" t="s">
        <v>469</v>
      </c>
      <c r="E121" s="186"/>
      <c r="F121" s="186"/>
      <c r="H121" s="146"/>
      <c r="I121" s="146"/>
      <c r="J121" s="146"/>
      <c r="K121" s="137"/>
    </row>
    <row r="122" spans="2:11" ht="18.75">
      <c r="B122" s="137"/>
      <c r="C122" s="147" t="s">
        <v>447</v>
      </c>
      <c r="D122" s="189">
        <f>IF(D37=Tablas!C6,Tablas!D6,IF('ED MADERA-VIV'!D37=Tablas!C8,Tablas!D8,IF('ED MADERA-VIV'!D37=Tablas!C9,Tablas!D9,IF('ED MADERA-VIV'!D37=Tablas!C10,Tablas!D10,0))))</f>
        <v>0</v>
      </c>
      <c r="E122" s="183"/>
      <c r="F122" s="183"/>
      <c r="G122" s="142"/>
      <c r="H122" s="142"/>
      <c r="I122" s="142"/>
      <c r="J122" s="142"/>
      <c r="K122" s="137"/>
    </row>
    <row r="123" spans="2:11" ht="18.75">
      <c r="B123" s="137"/>
      <c r="C123" s="147" t="s">
        <v>448</v>
      </c>
      <c r="D123" s="189" t="e">
        <f>(IF('ED MADERA-VIV'!D40=Tablas!C29,Tablas!D29*D41,IF('ED MADERA-VIV'!D40=Tablas!C30,Tablas!D30*D41,IF('ED MADERA-VIV'!D40=Tablas!C31,Tablas!D31*D41,IF('ED MADERA-VIV'!D40=Tablas!C32,Tablas!D32*D41,IF('ED MADERA-VIV'!D40=Tablas!C33,Tablas!D33*D41,IF('ED MADERA-VIV'!D40=Tablas!C34,Tablas!D34*D41,0))))))
+IF('ED MADERA-VIV'!D43=Tablas!C29,Tablas!D29*D44,IF('ED MADERA-VIV'!D43=Tablas!C30,Tablas!D30*D44,IF('ED MADERA-VIV'!D43=Tablas!C31,Tablas!D31*D44,IF('ED MADERA-VIV'!D43=Tablas!C32,Tablas!D32*D44,IF('ED MADERA-VIV'!D43=Tablas!C33,Tablas!D33*D44,IF('ED MADERA-VIV'!D43=Tablas!C34,Tablas!D34*D44,0))))))
+IF('ED MADERA-VIV'!D46=Tablas!C29,Tablas!D29*D47,IF('ED MADERA-VIV'!D46=Tablas!C30,Tablas!D30*D47,IF('ED MADERA-VIV'!D46=Tablas!C31,Tablas!D31*D47,IF('ED MADERA-VIV'!D46=Tablas!C32,Tablas!D32*D47,IF('ED MADERA-VIV'!D46=Tablas!C33,Tablas!D33*D47,IF('ED MADERA-VIV'!D46=Tablas!C34,Tablas!D34*D47,0))))))
+IF('ED MADERA-VIV'!D49=Tablas!C29,Tablas!D29*D50,IF('ED MADERA-VIV'!D49=Tablas!C30,Tablas!D30*D50,IF('ED MADERA-VIV'!D49=Tablas!C31,Tablas!D31*D50,IF('ED MADERA-VIV'!D49=Tablas!C32,Tablas!D32*D50,IF('ED MADERA-VIV'!D49=Tablas!C33,Tablas!D33*D50,IF('ED MADERA-VIV'!D49=Tablas!C34,Tablas!D34*D50,0))))))
+IF('ED MADERA-VIV'!D52=Tablas!C29,Tablas!D29*D53,IF('ED MADERA-VIV'!D52=Tablas!C30,Tablas!D30*D53,IF('ED MADERA-VIV'!D52=Tablas!C31,Tablas!D31*D53,IF('ED MADERA-VIV'!D52=Tablas!C32,Tablas!D32*D53,IF('ED MADERA-VIV'!D52=Tablas!C33,Tablas!D33*D53,IF('ED MADERA-VIV'!D52=Tablas!C34,Tablas!D34*D53,0))))))
+IF('ED MADERA-VIV'!D55=Tablas!C29,Tablas!D29*D56,IF('ED MADERA-VIV'!D55=Tablas!C30,Tablas!D30*D56,IF('ED MADERA-VIV'!D55=Tablas!C31,Tablas!D31*D56,IF('ED MADERA-VIV'!D55=Tablas!C32,Tablas!D32*D56,IF('ED MADERA-VIV'!D55=Tablas!C33,Tablas!D33*D56,IF('ED MADERA-VIV'!D55=Tablas!C34,Tablas!D34*D56,0)))))))/(IF(D23&gt;0,D34,G34))</f>
        <v>#DIV/0!</v>
      </c>
      <c r="E123" s="183"/>
      <c r="F123" s="183"/>
      <c r="G123" s="142"/>
      <c r="H123" s="142"/>
      <c r="I123" s="142"/>
      <c r="J123" s="142"/>
      <c r="K123" s="137"/>
    </row>
    <row r="124" spans="2:11" ht="18.75">
      <c r="B124" s="137"/>
      <c r="C124" s="147" t="s">
        <v>450</v>
      </c>
      <c r="D124" s="189" t="e">
        <f>(IF(D59=Tablas!C26,'ED MADERA-VIV'!D60*Tablas!D26,IF(D59=Tablas!C27,'ED MADERA-VIV'!D60*Tablas!D27,IF(D59=Tablas!C28,'ED MADERA-VIV'!D60*Tablas!D28,0)))
+IF(D62=Tablas!C26,'ED MADERA-VIV'!D63*Tablas!D26,IF(D62=Tablas!C27,'ED MADERA-VIV'!D63*Tablas!D27,IF(D62=Tablas!C28,'ED MADERA-VIV'!D63*Tablas!D28,0)))
+IF(D65=Tablas!C26,'ED MADERA-VIV'!D66*Tablas!D26,IF(D65=Tablas!C27,'ED MADERA-VIV'!D66*Tablas!D27,IF(D65=Tablas!C28,'ED MADERA-VIV'!D66*Tablas!D28,0))))/(IF(D23&gt;0,D34,G34))</f>
        <v>#DIV/0!</v>
      </c>
      <c r="E124" s="183"/>
      <c r="F124" s="183"/>
      <c r="G124" s="142"/>
      <c r="H124" s="142"/>
      <c r="I124" s="142"/>
      <c r="J124" s="142"/>
      <c r="K124" s="137"/>
    </row>
    <row r="125" spans="2:11" ht="18.75">
      <c r="B125" s="137"/>
      <c r="C125" s="147" t="s">
        <v>452</v>
      </c>
      <c r="D125" s="189" t="e">
        <f>(IF(D70=Tablas!C36,Tablas!D36*D71,IF(D70=Tablas!C37,Tablas!D37*D71,IF(D70=Tablas!C38,Tablas!D38*D71,0)))
+IF(D73=Tablas!C36,Tablas!D36*D74,IF(D73=Tablas!C37,Tablas!D37*D74,IF(D73=Tablas!C38,Tablas!D38*D74,0)))
+IF(D76=Tablas!C36,Tablas!D36*D77,IF(D76=Tablas!C37,Tablas!D37*D77,IF(D76=Tablas!C38,Tablas!D38*D77,0)))
+IF(G70=Tablas!C39,Tablas!D39*G71,IF(G70=Tablas!C40,Tablas!D40*G71,IF(G70=Tablas!C41,Tablas!D41*G71,IF(G70=Tablas!C42,Tablas!D42*G71,IF(G70=Tablas!C43,Tablas!D43*G71,0)))))
+IF(G73=Tablas!C39,Tablas!D39*G74,IF(G73=Tablas!C40,Tablas!D40*G74,IF(G73=Tablas!C41,Tablas!D41*G74,IF(G73=Tablas!C42,Tablas!D42*G74,IF(G73=Tablas!C43,Tablas!D43*G74,0)))))
+IF(G76=Tablas!C39,Tablas!D39*G77,IF(G76=Tablas!C40,Tablas!D40*G77,IF(G76=Tablas!C41,Tablas!D41*G77,IF(G76=Tablas!C42,Tablas!D42*G77,IF(G76=Tablas!C43,Tablas!D43*G77,0)))))
+IF(G79=Tablas!C39,Tablas!D39*G80,IF(G79=Tablas!C40,Tablas!D40*G80,IF(G79=Tablas!C41,Tablas!D41*G80,IF(G79=Tablas!C42,Tablas!D42*G80,IF(G79=Tablas!C43,Tablas!D43*G80,0)))))
+IF(G82=Tablas!C39,Tablas!D39*G83,IF(G82=Tablas!C40,Tablas!D40*G83,IF(G82=Tablas!C41,Tablas!D41*G83,IF(G83=Tablas!C42,Tablas!D42*G80,IF(G83=Tablas!C43,Tablas!D43*G80,0)))))
+IF(J70=Tablas!C39,Tablas!D39*J71,IF(J70=Tablas!C40,Tablas!D40*J71,IF(J70=Tablas!C41,Tablas!D41*J71,IF(J70=Tablas!C42,Tablas!D42*J71,IF(J70=Tablas!C43,Tablas!D43*J71,0)))))
+IF(J73=Tablas!C39,Tablas!D39*J74,IF(J73=Tablas!C40,Tablas!D40*J74,IF(J73=Tablas!C41,Tablas!D41*J74,IF(J73=Tablas!C42,Tablas!D42*J74,IF(J73=Tablas!C43,Tablas!D43*J74,0)))))
+IF(J76=Tablas!C39,Tablas!D39*J77,IF(J76=Tablas!C40,Tablas!D40*J77,IF(J76=Tablas!C41,Tablas!D41*J77,IF(J76=Tablas!C42,Tablas!D42*J77,IF(J76=Tablas!C43,Tablas!D43*J77,0)))))
+IF(J79=Tablas!C39,Tablas!D39*J80,IF(J79=Tablas!C40,Tablas!D40*J80,IF(J79=Tablas!C41,Tablas!D41*J80,IF(J79=Tablas!C42,Tablas!D42*J80,IF(J79=Tablas!C43,Tablas!D43*J80,0))))))/(IF(D23&gt;0,D34,G34))</f>
        <v>#DIV/0!</v>
      </c>
      <c r="E125" s="183"/>
      <c r="F125" s="183"/>
      <c r="G125" s="142"/>
      <c r="H125" s="142"/>
      <c r="I125" s="142"/>
      <c r="J125" s="142"/>
      <c r="K125" s="137"/>
    </row>
    <row r="126" spans="2:11" ht="18.75">
      <c r="B126" s="137"/>
      <c r="C126" s="147" t="s">
        <v>449</v>
      </c>
      <c r="D126" s="189" t="e">
        <f>(IF(D86=Tablas!C11,Tablas!D11*'ED MADERA-VIV'!D87,IF('ED MADERA-VIV'!D86=Tablas!C12,Tablas!D12*'ED MADERA-VIV'!D87,IF('ED MADERA-VIV'!D86=Tablas!C13,Tablas!D13*'ED MADERA-VIV'!D87,IF('ED MADERA-VIV'!D86=Tablas!C14,Tablas!D14*'ED MADERA-VIV'!D87,IF('ED MADERA-VIV'!D86=Tablas!C15,Tablas!D15*'ED MADERA-VIV'!D87,IF('ED MADERA-VIV'!D86=Tablas!C16,Tablas!D16*'ED MADERA-VIV'!D87,IF('ED MADERA-VIV'!D86=Tablas!C17,Tablas!D17*'ED MADERA-VIV'!D87,IF('ED MADERA-VIV'!D86=Tablas!C18,Tablas!D18*'ED MADERA-VIV'!D87,IF('ED MADERA-VIV'!D86=Tablas!C19,Tablas!D19*'ED MADERA-VIV'!D87,IF('ED MADERA-VIV'!D86=Tablas!C20,Tablas!D20*'ED MADERA-VIV'!D87,0))))))))))
+ IF(D89=Tablas!C11,Tablas!D11*'ED MADERA-VIV'!D90,IF('ED MADERA-VIV'!D89=Tablas!C12,Tablas!D12*'ED MADERA-VIV'!D90,IF('ED MADERA-VIV'!D89=Tablas!C13,Tablas!D13*'ED MADERA-VIV'!D90,IF('ED MADERA-VIV'!D89=Tablas!C14,Tablas!D14*'ED MADERA-VIV'!D90,IF('ED MADERA-VIV'!D89=Tablas!C15,Tablas!D15*'ED MADERA-VIV'!D90,IF('ED MADERA-VIV'!D89=Tablas!C16,Tablas!D16*'ED MADERA-VIV'!D90,IF('ED MADERA-VIV'!D89=Tablas!C17,Tablas!D17*'ED MADERA-VIV'!D90,IF('ED MADERA-VIV'!D89=Tablas!C18,Tablas!D18*'ED MADERA-VIV'!D90,IF('ED MADERA-VIV'!D89=Tablas!C19,Tablas!D19*'ED MADERA-VIV'!D90,IF('ED MADERA-VIV'!D89=Tablas!C20,Tablas!D20*'ED MADERA-VIV'!D90,0))))))))))
+ IF(D92=Tablas!C11,Tablas!D11*'ED MADERA-VIV'!D93,IF('ED MADERA-VIV'!D92=Tablas!C12,Tablas!D12*'ED MADERA-VIV'!D93,IF('ED MADERA-VIV'!D92=Tablas!C13,Tablas!D13*'ED MADERA-VIV'!D93,IF('ED MADERA-VIV'!D92=Tablas!C14,Tablas!D14*'ED MADERA-VIV'!D93,IF('ED MADERA-VIV'!D92=Tablas!C15,Tablas!D15*'ED MADERA-VIV'!D93,IF('ED MADERA-VIV'!D92=Tablas!C16,Tablas!D16*'ED MADERA-VIV'!D93,IF('ED MADERA-VIV'!D92=Tablas!C17,Tablas!D17*'ED MADERA-VIV'!D93,IF('ED MADERA-VIV'!D92=Tablas!C18,Tablas!D18*'ED MADERA-VIV'!D93,IF('ED MADERA-VIV'!D92=Tablas!C19,Tablas!D19*'ED MADERA-VIV'!D93,IF('ED MADERA-VIV'!D92=Tablas!C20,Tablas!D20*'ED MADERA-VIV'!D93,0))))))))))
+ IF(D95=Tablas!C11,Tablas!D11*'ED MADERA-VIV'!D96,IF('ED MADERA-VIV'!D95=Tablas!C12,Tablas!D12*'ED MADERA-VIV'!D96,IF('ED MADERA-VIV'!D95=Tablas!C13,Tablas!D13*'ED MADERA-VIV'!D96,IF('ED MADERA-VIV'!D95=Tablas!C14,Tablas!D14*'ED MADERA-VIV'!D96,IF('ED MADERA-VIV'!D95=Tablas!C15,Tablas!D15*'ED MADERA-VIV'!D96,IF('ED MADERA-VIV'!D95=Tablas!C16,Tablas!D16*'ED MADERA-VIV'!D96,IF('ED MADERA-VIV'!D95=Tablas!C17,Tablas!D17*'ED MADERA-VIV'!D96,IF('ED MADERA-VIV'!D95=Tablas!C18,Tablas!D18*'ED MADERA-VIV'!D96,IF('ED MADERA-VIV'!D95=Tablas!C19,Tablas!D19*'ED MADERA-VIV'!D96,IF('ED MADERA-VIV'!D95=Tablas!C20,Tablas!D20*'ED MADERA-VIV'!D96,0))))))))))
+ IF(D98=Tablas!C11,Tablas!D11*'ED MADERA-VIV'!D99,IF('ED MADERA-VIV'!D98=Tablas!C12,Tablas!D12*'ED MADERA-VIV'!D99,IF('ED MADERA-VIV'!D98=Tablas!C13,Tablas!D13*'ED MADERA-VIV'!D99,IF('ED MADERA-VIV'!D98=Tablas!C14,Tablas!D14*'ED MADERA-VIV'!D99,IF('ED MADERA-VIV'!D98=Tablas!C15,Tablas!D15*'ED MADERA-VIV'!D99,IF('ED MADERA-VIV'!D98=Tablas!C16,Tablas!D16*'ED MADERA-VIV'!D99,IF('ED MADERA-VIV'!D98=Tablas!C17,Tablas!D17*'ED MADERA-VIV'!D99,IF('ED MADERA-VIV'!D98=Tablas!C18,Tablas!D18*'ED MADERA-VIV'!D99,IF('ED MADERA-VIV'!D98=Tablas!C19,Tablas!D19*'ED MADERA-VIV'!D99,IF('ED MADERA-VIV'!D98=Tablas!C20,Tablas!D20*'ED MADERA-VIV'!D99,0))))))))))
+ IF(G86=Tablas!C11,Tablas!D11*'ED MADERA-VIV'!G87,IF('ED MADERA-VIV'!G86=Tablas!C12,Tablas!D12*'ED MADERA-VIV'!G87,IF('ED MADERA-VIV'!G86=Tablas!C13,Tablas!D13*'ED MADERA-VIV'!G87,IF('ED MADERA-VIV'!G86=Tablas!C14,Tablas!D14*'ED MADERA-VIV'!G87,IF('ED MADERA-VIV'!G86=Tablas!C15,Tablas!D15*'ED MADERA-VIV'!G87,IF('ED MADERA-VIV'!G86=Tablas!C16,Tablas!D16*'ED MADERA-VIV'!G87,IF('ED MADERA-VIV'!G86=Tablas!C17,Tablas!D17*'ED MADERA-VIV'!G87,IF('ED MADERA-VIV'!G86=Tablas!C18,Tablas!D18*'ED MADERA-VIV'!G87,IF('ED MADERA-VIV'!G86=Tablas!C19,Tablas!D19*'ED MADERA-VIV'!G87,IF('ED MADERA-VIV'!G86=Tablas!C20,Tablas!D20*'ED MADERA-VIV'!G87,0))))))))))
+ IF(G89=Tablas!C11,Tablas!D11*'ED MADERA-VIV'!G90,IF('ED MADERA-VIV'!G89=Tablas!C12,Tablas!D12*'ED MADERA-VIV'!G90,IF('ED MADERA-VIV'!G89=Tablas!C13,Tablas!D13*'ED MADERA-VIV'!G90,IF('ED MADERA-VIV'!G89=Tablas!C14,Tablas!D14*'ED MADERA-VIV'!G90,IF('ED MADERA-VIV'!G89=Tablas!C15,Tablas!D15*'ED MADERA-VIV'!G90,IF('ED MADERA-VIV'!G89=Tablas!C16,Tablas!D16*'ED MADERA-VIV'!G90,IF('ED MADERA-VIV'!G89=Tablas!C17,Tablas!D17*'ED MADERA-VIV'!G90,IF('ED MADERA-VIV'!G89=Tablas!C18,Tablas!D18*'ED MADERA-VIV'!G90,IF('ED MADERA-VIV'!G89=Tablas!C19,Tablas!D19*'ED MADERA-VIV'!G90,IF('ED MADERA-VIV'!G89=Tablas!C20,Tablas!D20*'ED MADERA-VIV'!G90,0))))))))))
+ IF(G92=Tablas!C11,Tablas!D11*'ED MADERA-VIV'!G93,IF('ED MADERA-VIV'!G92=Tablas!C12,Tablas!D12*'ED MADERA-VIV'!G93,IF('ED MADERA-VIV'!G92=Tablas!C13,Tablas!D13*'ED MADERA-VIV'!G93,IF('ED MADERA-VIV'!G92=Tablas!C14,Tablas!D14*'ED MADERA-VIV'!G93,IF('ED MADERA-VIV'!G92=Tablas!C15,Tablas!D15*'ED MADERA-VIV'!G93,IF('ED MADERA-VIV'!G92=Tablas!C16,Tablas!D16*'ED MADERA-VIV'!G93,IF('ED MADERA-VIV'!G92=Tablas!C17,Tablas!D17*'ED MADERA-VIV'!G93,IF('ED MADERA-VIV'!G92=Tablas!C18,Tablas!D18*'ED MADERA-VIV'!G93,IF('ED MADERA-VIV'!G92=Tablas!C19,Tablas!D19*'ED MADERA-VIV'!G93,IF('ED MADERA-VIV'!G92=Tablas!C20,Tablas!D20*'ED MADERA-VIV'!G93,0))))))))))
+ IF(G95=Tablas!C11,Tablas!D11*'ED MADERA-VIV'!G96,IF('ED MADERA-VIV'!G95=Tablas!C12,Tablas!D12*'ED MADERA-VIV'!G96,IF('ED MADERA-VIV'!G95=Tablas!C13,Tablas!D13*'ED MADERA-VIV'!G96,IF('ED MADERA-VIV'!G95=Tablas!C14,Tablas!D14*'ED MADERA-VIV'!G96,IF('ED MADERA-VIV'!G95=Tablas!C15,Tablas!D15*'ED MADERA-VIV'!G96,IF('ED MADERA-VIV'!G95=Tablas!C16,Tablas!D16*'ED MADERA-VIV'!G96,IF('ED MADERA-VIV'!G95=Tablas!C17,Tablas!D17*'ED MADERA-VIV'!G96,IF('ED MADERA-VIV'!G95=Tablas!C18,Tablas!D18*'ED MADERA-VIV'!G96,IF('ED MADERA-VIV'!G95=Tablas!C19,Tablas!D19*'ED MADERA-VIV'!G96,IF('ED MADERA-VIV'!G95=Tablas!C20,Tablas!D20*'ED MADERA-VIV'!G96,0))))))))))
+ IF(G98=Tablas!C11,Tablas!D11*'ED MADERA-VIV'!G99,IF('ED MADERA-VIV'!G98=Tablas!C12,Tablas!D12*'ED MADERA-VIV'!G99,IF('ED MADERA-VIV'!G98=Tablas!C13,Tablas!D13*'ED MADERA-VIV'!G99,IF('ED MADERA-VIV'!G98=Tablas!C14,Tablas!D14*'ED MADERA-VIV'!G99,IF('ED MADERA-VIV'!G98=Tablas!C15,Tablas!D15*'ED MADERA-VIV'!G99,IF('ED MADERA-VIV'!G98=Tablas!C16,Tablas!D16*'ED MADERA-VIV'!G99,IF('ED MADERA-VIV'!G98=Tablas!C17,Tablas!D17*'ED MADERA-VIV'!G99,IF('ED MADERA-VIV'!G98=Tablas!C18,Tablas!D18*'ED MADERA-VIV'!G99,IF('ED MADERA-VIV'!G98=Tablas!C19,Tablas!D19*'ED MADERA-VIV'!G99,IF('ED MADERA-VIV'!G98=Tablas!C20,Tablas!D20*'ED MADERA-VIV'!G99,0)))))))))))/(IF(D23&gt;0,D34,G34))</f>
        <v>#DIV/0!</v>
      </c>
      <c r="E126" s="183"/>
      <c r="F126" s="183"/>
      <c r="G126" s="142"/>
      <c r="H126" s="142"/>
      <c r="I126" s="142"/>
      <c r="J126" s="142"/>
      <c r="K126" s="137"/>
    </row>
    <row r="127" spans="2:11" ht="33.75">
      <c r="B127" s="137"/>
      <c r="C127" s="155" t="s">
        <v>548</v>
      </c>
      <c r="D127" s="189" t="e">
        <f>(IF(D102=Tablas!C21,Tablas!D21*'ED MADERA-VIV'!D103,IF(D102=Tablas!C22,Tablas!D22*'ED MADERA-VIV'!D103,IF(D102=Tablas!C23,Tablas!D23*'ED MADERA-VIV'!D103,IF(D102=Tablas!C24,Tablas!D24*'ED MADERA-VIV'!D103,IF(D102=Tablas!C25,Tablas!D25*'ED MADERA-VIV'!D103,0)))))
+IF(D105=Tablas!C21,Tablas!D21*'ED MADERA-VIV'!D106,IF(D105=Tablas!C22,Tablas!D22*'ED MADERA-VIV'!D106,IF(D105=Tablas!C23,Tablas!D23*'ED MADERA-VIV'!D106,IF(D105=Tablas!C24,Tablas!D24*'ED MADERA-VIV'!D106,IF(D105=Tablas!C25,Tablas!D25*'ED MADERA-VIV'!D106,0))))
+IF(D108=Tablas!C21,Tablas!D21*'ED MADERA-VIV'!D109,IF(D108=Tablas!C22,Tablas!D22*'ED MADERA-VIV'!D109,IF(D108=Tablas!C23,Tablas!D23*'ED MADERA-VIV'!D109,IF(D108=Tablas!C24,Tablas!D24*'ED MADERA-VIV'!D109,IF(D108=Tablas!C25,Tablas!D25*'ED MADERA-VIV'!D109,0))))
+IF(D111=Tablas!C21,Tablas!D21*'ED MADERA-VIV'!D112,IF(D111=Tablas!C22,Tablas!D22*'ED MADERA-VIV'!D112,IF(D111=Tablas!C23,Tablas!D23*'ED MADERA-VIV'!D112,IF(D111=Tablas!C24,Tablas!D24*'ED MADERA-VIV'!D112,IF(D111=Tablas!C25,Tablas!D25*'ED MADERA-VIV'!D112,0))))))
+IF(D114=Tablas!C21,Tablas!D21*'ED MADERA-VIV'!D115,IF(D114=Tablas!C22,Tablas!D22*'ED MADERA-VIV'!D115,IF(D114=Tablas!C23,Tablas!D23*'ED MADERA-VIV'!D115,IF(D114=Tablas!C24,Tablas!D24*'ED MADERA-VIV'!D115,IF(D114=Tablas!C25,Tablas!D25*'ED MADERA-VIV'!D115,0)))))))/(IF(D23&gt;0,D34,G34))</f>
        <v>#DIV/0!</v>
      </c>
      <c r="E127" s="183"/>
      <c r="F127" s="183"/>
      <c r="G127" s="142"/>
      <c r="H127" s="142"/>
      <c r="I127" s="142"/>
      <c r="J127" s="142"/>
      <c r="K127" s="137"/>
    </row>
    <row r="128" spans="2:11" ht="18.75" thickBot="1">
      <c r="B128" s="137"/>
      <c r="C128" s="148" t="s">
        <v>451</v>
      </c>
      <c r="D128" s="190" t="e">
        <f>SUM(D122:D127)</f>
        <v>#DIV/0!</v>
      </c>
      <c r="E128" s="183"/>
      <c r="F128" s="183"/>
      <c r="G128" s="142"/>
      <c r="H128" s="142"/>
      <c r="I128" s="142"/>
      <c r="J128" s="142"/>
      <c r="K128" s="137"/>
    </row>
    <row r="129" spans="2:11">
      <c r="B129" s="137"/>
      <c r="C129" s="135"/>
      <c r="D129" s="136"/>
      <c r="E129" s="149"/>
      <c r="F129" s="135"/>
      <c r="G129" s="135"/>
      <c r="H129" s="135"/>
      <c r="I129" s="137"/>
      <c r="J129" s="137"/>
      <c r="K129" s="137"/>
    </row>
  </sheetData>
  <mergeCells count="6">
    <mergeCell ref="C2:J2"/>
    <mergeCell ref="D13:J13"/>
    <mergeCell ref="D14:J14"/>
    <mergeCell ref="D15:J15"/>
    <mergeCell ref="E120:F120"/>
    <mergeCell ref="C118:D118"/>
  </mergeCells>
  <pageMargins left="0.7" right="0.7" top="0.75" bottom="0.75" header="0.3" footer="0.3"/>
  <pageSetup paperSize="9" orientation="portrait" horizontalDpi="300" verticalDpi="300" r:id="rId1"/>
  <drawing r:id="rId2"/>
  <legacyDrawing r:id="rId3"/>
  <extLst xmlns:x14="http://schemas.microsoft.com/office/spreadsheetml/2009/9/main">
    <ext uri="{CCE6A557-97BC-4b89-ADB6-D9C93CAAB3DF}">
      <x14:dataValidations xmlns:xm="http://schemas.microsoft.com/office/excel/2006/main" count="8">
        <x14:dataValidation type="list" allowBlank="1" showInputMessage="1" showErrorMessage="1">
          <x14:formula1>
            <xm:f>Tablas!$C$44:$C$47</xm:f>
          </x14:formula1>
          <xm:sqref>J70 J73 J76 J79</xm:sqref>
        </x14:dataValidation>
        <x14:dataValidation type="list" allowBlank="1" showInputMessage="1" showErrorMessage="1">
          <x14:formula1>
            <xm:f>Tablas!$C$39:$C$43</xm:f>
          </x14:formula1>
          <xm:sqref>G70 G73 G76 G79 G82</xm:sqref>
        </x14:dataValidation>
        <x14:dataValidation type="list" allowBlank="1" showInputMessage="1" showErrorMessage="1">
          <x14:formula1>
            <xm:f>Tablas!$C$36:$C$38</xm:f>
          </x14:formula1>
          <xm:sqref>D70 D73 D76</xm:sqref>
        </x14:dataValidation>
        <x14:dataValidation type="list" allowBlank="1" showInputMessage="1" showErrorMessage="1">
          <x14:formula1>
            <xm:f>Tablas!$C$26:$C$28</xm:f>
          </x14:formula1>
          <xm:sqref>D59 D62 D65</xm:sqref>
        </x14:dataValidation>
        <x14:dataValidation type="list" allowBlank="1" showInputMessage="1" showErrorMessage="1">
          <x14:formula1>
            <xm:f>Tablas!$C$21:$C$25</xm:f>
          </x14:formula1>
          <xm:sqref>D102 D105 D108 D111 D114</xm:sqref>
        </x14:dataValidation>
        <x14:dataValidation type="list" allowBlank="1" showInputMessage="1" showErrorMessage="1">
          <x14:formula1>
            <xm:f>Tablas!$C$11:$C$20</xm:f>
          </x14:formula1>
          <xm:sqref>D86 D89 G95 G92 G89 G86 D92 D95 D98 G98</xm:sqref>
        </x14:dataValidation>
        <x14:dataValidation type="list" allowBlank="1" showInputMessage="1" showErrorMessage="1">
          <x14:formula1>
            <xm:f>Tablas!$C$29:$C$34</xm:f>
          </x14:formula1>
          <xm:sqref>D52 D55 D43 D46 D49 D40</xm:sqref>
        </x14:dataValidation>
        <x14:dataValidation type="list" allowBlank="1" showInputMessage="1" showErrorMessage="1">
          <x14:formula1>
            <xm:f>Tablas!$C$6:$C$10</xm:f>
          </x14:formula1>
          <xm:sqref>D37</xm:sqref>
        </x14:dataValidation>
      </x14:dataValidations>
    </ext>
  </extLst>
</worksheet>
</file>

<file path=xl/worksheets/sheet4.xml><?xml version="1.0" encoding="utf-8"?>
<worksheet xmlns="http://schemas.openxmlformats.org/spreadsheetml/2006/main" xmlns:r="http://schemas.openxmlformats.org/officeDocument/2006/relationships">
  <sheetPr codeName="Hoja3"/>
  <dimension ref="B2:K129"/>
  <sheetViews>
    <sheetView topLeftCell="A114" zoomScaleNormal="100" workbookViewId="0">
      <selection activeCell="F127" sqref="F127"/>
    </sheetView>
  </sheetViews>
  <sheetFormatPr baseColWidth="10" defaultColWidth="9.140625" defaultRowHeight="15"/>
  <cols>
    <col min="1" max="1" width="9.140625" style="126"/>
    <col min="2" max="2" width="3" style="126" bestFit="1" customWidth="1"/>
    <col min="3" max="3" width="44.140625" style="127" bestFit="1" customWidth="1"/>
    <col min="4" max="4" width="25" style="128" bestFit="1" customWidth="1"/>
    <col min="5" max="5" width="23.28515625" style="127" bestFit="1" customWidth="1"/>
    <col min="6" max="6" width="45.28515625" style="127" bestFit="1" customWidth="1"/>
    <col min="7" max="7" width="24.7109375" style="127" bestFit="1" customWidth="1"/>
    <col min="8" max="8" width="13.85546875" style="127" bestFit="1" customWidth="1"/>
    <col min="9" max="9" width="36" style="126" customWidth="1"/>
    <col min="10" max="10" width="16.28515625" style="126" bestFit="1" customWidth="1"/>
    <col min="11" max="11" width="3" style="126" bestFit="1" customWidth="1"/>
    <col min="12" max="16384" width="9.140625" style="126"/>
  </cols>
  <sheetData>
    <row r="2" spans="3:10" ht="21">
      <c r="C2" s="237" t="s">
        <v>559</v>
      </c>
      <c r="D2" s="238"/>
      <c r="E2" s="238"/>
      <c r="F2" s="238"/>
      <c r="G2" s="238"/>
      <c r="H2" s="238"/>
      <c r="I2" s="238"/>
      <c r="J2" s="239"/>
    </row>
    <row r="3" spans="3:10">
      <c r="C3" s="177"/>
      <c r="D3" s="158"/>
      <c r="E3" s="158" t="s">
        <v>585</v>
      </c>
      <c r="F3" s="158"/>
      <c r="G3" s="158"/>
      <c r="H3" s="158"/>
      <c r="I3" s="158"/>
      <c r="J3" s="159"/>
    </row>
    <row r="4" spans="3:10">
      <c r="C4" s="156"/>
      <c r="D4" s="157"/>
      <c r="E4" s="158"/>
      <c r="F4" s="158"/>
      <c r="G4" s="158"/>
      <c r="H4" s="158"/>
      <c r="I4" s="158"/>
      <c r="J4" s="159"/>
    </row>
    <row r="5" spans="3:10">
      <c r="C5" s="156"/>
      <c r="D5" s="157"/>
      <c r="E5" s="158"/>
      <c r="F5" s="158"/>
      <c r="G5" s="158"/>
      <c r="H5" s="158"/>
      <c r="I5" s="158"/>
      <c r="J5" s="159"/>
    </row>
    <row r="6" spans="3:10">
      <c r="C6" s="156"/>
      <c r="D6" s="157"/>
      <c r="E6" s="158"/>
      <c r="F6" s="158"/>
      <c r="G6" s="158"/>
      <c r="H6" s="158"/>
      <c r="I6" s="158"/>
      <c r="J6" s="159"/>
    </row>
    <row r="7" spans="3:10">
      <c r="C7" s="156"/>
      <c r="D7" s="157"/>
      <c r="E7" s="158"/>
      <c r="F7" s="158"/>
      <c r="G7" s="158"/>
      <c r="H7" s="158"/>
      <c r="I7" s="158"/>
      <c r="J7" s="159"/>
    </row>
    <row r="8" spans="3:10">
      <c r="C8" s="156"/>
      <c r="D8" s="157"/>
      <c r="E8" s="158"/>
      <c r="F8" s="158"/>
      <c r="G8" s="158"/>
      <c r="H8" s="158"/>
      <c r="I8" s="158"/>
      <c r="J8" s="159"/>
    </row>
    <row r="9" spans="3:10">
      <c r="C9" s="160"/>
      <c r="D9" s="161"/>
      <c r="E9" s="162"/>
      <c r="F9" s="162"/>
      <c r="G9" s="162"/>
      <c r="H9" s="162"/>
      <c r="I9" s="162"/>
      <c r="J9" s="163"/>
    </row>
    <row r="11" spans="3:10" ht="15.75">
      <c r="C11" s="166" t="s">
        <v>120</v>
      </c>
      <c r="D11" s="164"/>
      <c r="E11" s="165"/>
      <c r="F11" s="165"/>
      <c r="G11" s="165"/>
      <c r="H11" s="165"/>
      <c r="I11" s="165"/>
      <c r="J11" s="165"/>
    </row>
    <row r="12" spans="3:10" ht="15.75" thickBot="1">
      <c r="C12" s="140" t="s">
        <v>546</v>
      </c>
      <c r="D12" s="130"/>
      <c r="E12" s="126"/>
      <c r="F12" s="126"/>
      <c r="G12" s="126"/>
      <c r="H12" s="126"/>
    </row>
    <row r="13" spans="3:10" ht="15.75" thickBot="1">
      <c r="C13" s="127" t="s">
        <v>104</v>
      </c>
      <c r="D13" s="245"/>
      <c r="E13" s="246"/>
      <c r="F13" s="246"/>
      <c r="G13" s="246"/>
      <c r="H13" s="246"/>
      <c r="I13" s="246"/>
      <c r="J13" s="247"/>
    </row>
    <row r="14" spans="3:10" ht="15.75" thickBot="1">
      <c r="C14" s="127" t="s">
        <v>105</v>
      </c>
      <c r="D14" s="245"/>
      <c r="E14" s="246"/>
      <c r="F14" s="246"/>
      <c r="G14" s="246"/>
      <c r="H14" s="246"/>
      <c r="I14" s="246"/>
      <c r="J14" s="247"/>
    </row>
    <row r="15" spans="3:10" ht="15.75" thickBot="1">
      <c r="C15" s="127" t="s">
        <v>172</v>
      </c>
      <c r="D15" s="245"/>
      <c r="E15" s="246"/>
      <c r="F15" s="246"/>
      <c r="G15" s="246"/>
      <c r="H15" s="246"/>
      <c r="I15" s="246"/>
      <c r="J15" s="247"/>
    </row>
    <row r="16" spans="3:10">
      <c r="I16" s="127"/>
      <c r="J16" s="127"/>
    </row>
    <row r="17" spans="3:10" ht="16.5" thickBot="1">
      <c r="C17" s="166" t="s">
        <v>547</v>
      </c>
      <c r="D17" s="164"/>
      <c r="E17" s="165"/>
      <c r="F17" s="165"/>
      <c r="G17" s="165"/>
      <c r="H17" s="165"/>
      <c r="I17" s="165"/>
      <c r="J17" s="165"/>
    </row>
    <row r="18" spans="3:10" ht="15.75" thickBot="1">
      <c r="C18" s="126" t="s">
        <v>171</v>
      </c>
      <c r="D18" s="124">
        <f>'ENTRADA DE DATOS'!D18</f>
        <v>0</v>
      </c>
      <c r="I18" s="127"/>
      <c r="J18" s="127"/>
    </row>
    <row r="19" spans="3:10" ht="15.75" thickBot="1">
      <c r="C19" s="130" t="s">
        <v>440</v>
      </c>
      <c r="D19" s="124">
        <f>'ENTRADA DE DATOS'!D19</f>
        <v>0</v>
      </c>
      <c r="E19" s="126"/>
      <c r="F19" s="126"/>
      <c r="G19" s="126"/>
      <c r="H19" s="126"/>
    </row>
    <row r="20" spans="3:10" ht="15.75" thickBot="1">
      <c r="C20" s="130" t="s">
        <v>581</v>
      </c>
      <c r="D20" s="124">
        <f>'ENTRADA DE DATOS'!D20</f>
        <v>0</v>
      </c>
      <c r="E20" s="126"/>
      <c r="F20" s="126"/>
      <c r="G20" s="126"/>
      <c r="H20" s="126"/>
    </row>
    <row r="21" spans="3:10">
      <c r="C21" s="130"/>
      <c r="D21" s="126"/>
      <c r="E21" s="126"/>
      <c r="F21" s="126"/>
      <c r="G21" s="126"/>
      <c r="H21" s="126"/>
    </row>
    <row r="22" spans="3:10" ht="30.75" thickBot="1">
      <c r="C22" s="131" t="s">
        <v>421</v>
      </c>
      <c r="D22" s="126"/>
      <c r="E22" s="126"/>
      <c r="F22" s="131" t="s">
        <v>422</v>
      </c>
      <c r="G22" s="126"/>
      <c r="H22" s="126"/>
    </row>
    <row r="23" spans="3:10" ht="15.75" thickBot="1">
      <c r="C23" s="127" t="s">
        <v>419</v>
      </c>
      <c r="D23" s="124">
        <f>'ENTRADA DE DATOS'!D23</f>
        <v>0</v>
      </c>
      <c r="F23" s="127" t="s">
        <v>420</v>
      </c>
      <c r="G23" s="124">
        <f>'ENTRADA DE DATOS'!G23</f>
        <v>0</v>
      </c>
      <c r="I23" s="127"/>
      <c r="J23" s="127"/>
    </row>
    <row r="24" spans="3:10" ht="15.75" thickBot="1">
      <c r="C24" s="127" t="s">
        <v>550</v>
      </c>
      <c r="D24" s="124">
        <f>'ENTRADA DE DATOS'!D24</f>
        <v>0</v>
      </c>
      <c r="F24" s="127" t="s">
        <v>582</v>
      </c>
      <c r="G24" s="124">
        <f>'ENTRADA DE DATOS'!G24</f>
        <v>0</v>
      </c>
      <c r="I24" s="127"/>
      <c r="J24" s="127"/>
    </row>
    <row r="25" spans="3:10" ht="15.75" thickBot="1">
      <c r="C25" s="127" t="s">
        <v>549</v>
      </c>
      <c r="D25" s="124">
        <f>'ENTRADA DE DATOS'!D25</f>
        <v>0</v>
      </c>
      <c r="F25" s="127" t="s">
        <v>583</v>
      </c>
      <c r="G25" s="124">
        <f>'ENTRADA DE DATOS'!G25</f>
        <v>0</v>
      </c>
      <c r="I25" s="127"/>
      <c r="J25" s="127"/>
    </row>
    <row r="26" spans="3:10" ht="15.75" thickBot="1">
      <c r="C26" s="127" t="s">
        <v>551</v>
      </c>
      <c r="D26" s="124">
        <f>'ENTRADA DE DATOS'!D26</f>
        <v>0</v>
      </c>
      <c r="F26" s="127" t="s">
        <v>424</v>
      </c>
      <c r="G26" s="124">
        <f>'ENTRADA DE DATOS'!G26</f>
        <v>0</v>
      </c>
      <c r="I26" s="127"/>
      <c r="J26" s="127"/>
    </row>
    <row r="27" spans="3:10" ht="15.75" thickBot="1">
      <c r="C27" s="127" t="s">
        <v>552</v>
      </c>
      <c r="D27" s="124">
        <f>'ENTRADA DE DATOS'!D27</f>
        <v>0</v>
      </c>
      <c r="F27" s="127" t="s">
        <v>425</v>
      </c>
      <c r="G27" s="124">
        <f>'ENTRADA DE DATOS'!G27</f>
        <v>0</v>
      </c>
      <c r="I27" s="127"/>
      <c r="J27" s="127"/>
    </row>
    <row r="28" spans="3:10" ht="15.75" thickBot="1">
      <c r="C28" s="127" t="s">
        <v>553</v>
      </c>
      <c r="D28" s="124">
        <f>'ENTRADA DE DATOS'!D28</f>
        <v>0</v>
      </c>
      <c r="F28" s="127" t="s">
        <v>426</v>
      </c>
      <c r="G28" s="124">
        <f>'ENTRADA DE DATOS'!G28</f>
        <v>0</v>
      </c>
      <c r="I28" s="127"/>
      <c r="J28" s="127"/>
    </row>
    <row r="29" spans="3:10" ht="15.75" thickBot="1">
      <c r="C29" s="127" t="s">
        <v>554</v>
      </c>
      <c r="D29" s="124">
        <f>'ENTRADA DE DATOS'!D29</f>
        <v>0</v>
      </c>
      <c r="F29" s="127" t="s">
        <v>427</v>
      </c>
      <c r="G29" s="124">
        <f>'ENTRADA DE DATOS'!G29</f>
        <v>0</v>
      </c>
      <c r="I29" s="127"/>
      <c r="J29" s="127"/>
    </row>
    <row r="30" spans="3:10" ht="15.75" thickBot="1">
      <c r="C30" s="127" t="s">
        <v>555</v>
      </c>
      <c r="D30" s="124">
        <f>'ENTRADA DE DATOS'!D30</f>
        <v>0</v>
      </c>
      <c r="F30" s="127" t="s">
        <v>428</v>
      </c>
      <c r="G30" s="124">
        <f>'ENTRADA DE DATOS'!G30</f>
        <v>0</v>
      </c>
      <c r="I30" s="127"/>
      <c r="J30" s="127"/>
    </row>
    <row r="31" spans="3:10" ht="15.75" thickBot="1">
      <c r="C31" s="127" t="s">
        <v>556</v>
      </c>
      <c r="D31" s="124">
        <f>'ENTRADA DE DATOS'!D31</f>
        <v>0</v>
      </c>
      <c r="F31" s="127" t="s">
        <v>429</v>
      </c>
      <c r="G31" s="124">
        <f>'ENTRADA DE DATOS'!G31</f>
        <v>0</v>
      </c>
      <c r="I31" s="127"/>
      <c r="J31" s="127"/>
    </row>
    <row r="32" spans="3:10" ht="15.75" thickBot="1">
      <c r="C32" s="127" t="s">
        <v>557</v>
      </c>
      <c r="D32" s="124">
        <f>'ENTRADA DE DATOS'!D32</f>
        <v>0</v>
      </c>
      <c r="F32" s="127" t="s">
        <v>430</v>
      </c>
      <c r="G32" s="124">
        <f>'ENTRADA DE DATOS'!G32</f>
        <v>0</v>
      </c>
      <c r="I32" s="127"/>
      <c r="J32" s="127"/>
    </row>
    <row r="33" spans="3:10" ht="15.75" thickBot="1">
      <c r="C33" s="126" t="s">
        <v>558</v>
      </c>
      <c r="D33" s="124">
        <f>'ENTRADA DE DATOS'!D33</f>
        <v>0</v>
      </c>
      <c r="F33" s="127" t="s">
        <v>431</v>
      </c>
      <c r="G33" s="124">
        <f>'ENTRADA DE DATOS'!G33</f>
        <v>0</v>
      </c>
      <c r="I33" s="127"/>
      <c r="J33" s="127"/>
    </row>
    <row r="34" spans="3:10" ht="15.75" thickBot="1">
      <c r="C34" s="127" t="s">
        <v>432</v>
      </c>
      <c r="D34" s="124">
        <f>'ENTRADA DE DATOS'!D34</f>
        <v>0</v>
      </c>
      <c r="F34" s="127" t="s">
        <v>432</v>
      </c>
      <c r="G34" s="124">
        <f>'ENTRADA DE DATOS'!G34</f>
        <v>0</v>
      </c>
      <c r="I34" s="127"/>
      <c r="J34" s="127"/>
    </row>
    <row r="35" spans="3:10">
      <c r="C35" s="132"/>
      <c r="I35" s="127"/>
      <c r="J35" s="127"/>
    </row>
    <row r="36" spans="3:10" ht="16.5" thickBot="1">
      <c r="C36" s="166" t="s">
        <v>106</v>
      </c>
      <c r="D36" s="164"/>
      <c r="E36" s="165"/>
      <c r="F36" s="165"/>
      <c r="G36" s="165"/>
      <c r="H36" s="165"/>
      <c r="I36" s="165"/>
      <c r="J36" s="165"/>
    </row>
    <row r="37" spans="3:10" ht="15.75" thickBot="1">
      <c r="C37" s="133" t="s">
        <v>446</v>
      </c>
      <c r="D37" s="134" t="s">
        <v>415</v>
      </c>
      <c r="I37" s="127"/>
      <c r="J37" s="127"/>
    </row>
    <row r="38" spans="3:10" s="137" customFormat="1">
      <c r="C38" s="135"/>
      <c r="D38" s="136"/>
      <c r="E38" s="135"/>
      <c r="F38" s="135"/>
      <c r="G38" s="135"/>
      <c r="H38" s="135"/>
      <c r="I38" s="135"/>
      <c r="J38" s="135"/>
    </row>
    <row r="39" spans="3:10" ht="16.5" thickBot="1">
      <c r="C39" s="166" t="s">
        <v>173</v>
      </c>
      <c r="D39" s="164"/>
      <c r="E39" s="165"/>
      <c r="F39" s="165"/>
      <c r="G39" s="165"/>
      <c r="H39" s="165"/>
      <c r="I39" s="165"/>
      <c r="J39" s="165"/>
    </row>
    <row r="40" spans="3:10" ht="15.75" thickBot="1">
      <c r="C40" s="126" t="s">
        <v>123</v>
      </c>
      <c r="D40" s="129" t="s">
        <v>130</v>
      </c>
      <c r="E40" s="126"/>
      <c r="F40" s="126"/>
      <c r="G40" s="126"/>
      <c r="H40" s="126"/>
    </row>
    <row r="41" spans="3:10" ht="18" thickBot="1">
      <c r="C41" s="137" t="s">
        <v>166</v>
      </c>
      <c r="D41" s="124">
        <f>'ENTRADA DE DATOS'!D41+'ENTRADA DE DATOS'!D44+'ENTRADA DE DATOS'!D47+'ENTRADA DE DATOS'!D50+'ENTRADA DE DATOS'!D53+'ENTRADA DE DATOS'!D56</f>
        <v>0</v>
      </c>
      <c r="E41" s="126"/>
      <c r="F41" s="126"/>
      <c r="G41" s="126"/>
      <c r="H41" s="126"/>
    </row>
    <row r="42" spans="3:10" ht="15.75" thickBot="1">
      <c r="C42" s="137"/>
      <c r="D42" s="130"/>
      <c r="E42" s="126"/>
      <c r="F42" s="126"/>
      <c r="G42" s="126"/>
      <c r="H42" s="126"/>
    </row>
    <row r="43" spans="3:10" ht="15.75" thickBot="1">
      <c r="C43" s="126" t="s">
        <v>124</v>
      </c>
      <c r="D43" s="129"/>
      <c r="E43" s="126"/>
      <c r="F43" s="126"/>
      <c r="G43" s="126"/>
      <c r="H43" s="126"/>
    </row>
    <row r="44" spans="3:10" ht="18" thickBot="1">
      <c r="C44" s="137" t="s">
        <v>167</v>
      </c>
      <c r="D44" s="129"/>
      <c r="E44" s="126"/>
      <c r="F44" s="126"/>
      <c r="G44" s="126"/>
      <c r="H44" s="126"/>
    </row>
    <row r="45" spans="3:10" ht="15.75" thickBot="1">
      <c r="C45" s="137"/>
      <c r="D45" s="138"/>
      <c r="E45" s="126"/>
      <c r="F45" s="126"/>
      <c r="G45" s="126"/>
      <c r="H45" s="126"/>
    </row>
    <row r="46" spans="3:10" ht="15.75" thickBot="1">
      <c r="C46" s="126" t="s">
        <v>125</v>
      </c>
      <c r="D46" s="129"/>
      <c r="E46" s="126"/>
      <c r="F46" s="126"/>
      <c r="G46" s="126"/>
      <c r="H46" s="126"/>
    </row>
    <row r="47" spans="3:10" ht="18" thickBot="1">
      <c r="C47" s="137" t="s">
        <v>168</v>
      </c>
      <c r="D47" s="129"/>
      <c r="E47" s="126"/>
      <c r="F47" s="126"/>
      <c r="G47" s="126"/>
      <c r="H47" s="126"/>
    </row>
    <row r="48" spans="3:10" ht="15.75" thickBot="1">
      <c r="C48" s="137"/>
      <c r="D48" s="138"/>
      <c r="E48" s="126"/>
      <c r="F48" s="126"/>
      <c r="G48" s="126"/>
      <c r="H48" s="126"/>
    </row>
    <row r="49" spans="3:10" ht="15.75" thickBot="1">
      <c r="C49" s="126" t="s">
        <v>157</v>
      </c>
      <c r="D49" s="129"/>
      <c r="E49" s="126"/>
      <c r="F49" s="126"/>
      <c r="G49" s="126"/>
      <c r="H49" s="126"/>
    </row>
    <row r="50" spans="3:10" ht="18" thickBot="1">
      <c r="C50" s="137" t="s">
        <v>170</v>
      </c>
      <c r="D50" s="129"/>
      <c r="E50" s="126"/>
      <c r="F50" s="126"/>
      <c r="G50" s="126"/>
      <c r="H50" s="126"/>
    </row>
    <row r="51" spans="3:10" ht="15.75" thickBot="1">
      <c r="C51" s="137"/>
      <c r="D51" s="138"/>
      <c r="E51" s="126"/>
      <c r="F51" s="126"/>
      <c r="G51" s="126"/>
      <c r="H51" s="126"/>
    </row>
    <row r="52" spans="3:10" ht="15.75" thickBot="1">
      <c r="C52" s="126" t="s">
        <v>158</v>
      </c>
      <c r="D52" s="129"/>
      <c r="E52" s="126"/>
      <c r="F52" s="126"/>
      <c r="G52" s="126"/>
      <c r="H52" s="126"/>
    </row>
    <row r="53" spans="3:10" ht="18" thickBot="1">
      <c r="C53" s="137" t="s">
        <v>169</v>
      </c>
      <c r="D53" s="129"/>
      <c r="E53" s="126"/>
      <c r="F53" s="126"/>
      <c r="G53" s="126"/>
      <c r="H53" s="126"/>
    </row>
    <row r="54" spans="3:10" ht="15.75" thickBot="1">
      <c r="C54" s="137"/>
      <c r="D54" s="138"/>
      <c r="E54" s="126"/>
      <c r="F54" s="126"/>
      <c r="G54" s="126"/>
      <c r="H54" s="126"/>
    </row>
    <row r="55" spans="3:10" ht="15.75" thickBot="1">
      <c r="C55" s="126" t="s">
        <v>540</v>
      </c>
      <c r="D55" s="129"/>
      <c r="E55" s="126"/>
      <c r="F55" s="126"/>
      <c r="G55" s="126"/>
      <c r="H55" s="126"/>
    </row>
    <row r="56" spans="3:10" ht="18" thickBot="1">
      <c r="C56" s="137" t="s">
        <v>541</v>
      </c>
      <c r="D56" s="129"/>
      <c r="E56" s="126"/>
      <c r="F56" s="126"/>
      <c r="G56" s="126"/>
      <c r="H56" s="126"/>
    </row>
    <row r="57" spans="3:10">
      <c r="C57" s="137"/>
      <c r="D57" s="138"/>
      <c r="E57" s="126"/>
      <c r="F57" s="126"/>
      <c r="G57" s="126"/>
      <c r="H57" s="126"/>
    </row>
    <row r="58" spans="3:10" ht="16.5" thickBot="1">
      <c r="C58" s="167" t="s">
        <v>575</v>
      </c>
      <c r="D58" s="164"/>
      <c r="E58" s="165"/>
      <c r="F58" s="165"/>
      <c r="G58" s="165"/>
      <c r="H58" s="165"/>
      <c r="I58" s="165"/>
      <c r="J58" s="165"/>
    </row>
    <row r="59" spans="3:10" ht="15.75" thickBot="1">
      <c r="C59" s="127" t="s">
        <v>128</v>
      </c>
      <c r="D59" s="129" t="s">
        <v>117</v>
      </c>
    </row>
    <row r="60" spans="3:10" ht="15.75" thickBot="1">
      <c r="C60" s="127" t="s">
        <v>416</v>
      </c>
      <c r="D60" s="139">
        <f>'ENTRADA DE DATOS'!D60+'ENTRADA DE DATOS'!D63+'ENTRADA DE DATOS'!D66</f>
        <v>0</v>
      </c>
    </row>
    <row r="61" spans="3:10" ht="15.75" thickBot="1">
      <c r="D61" s="136"/>
    </row>
    <row r="62" spans="3:10" ht="15.75" thickBot="1">
      <c r="C62" s="127" t="s">
        <v>128</v>
      </c>
      <c r="D62" s="129"/>
    </row>
    <row r="63" spans="3:10" ht="15.75" thickBot="1">
      <c r="C63" s="127" t="s">
        <v>417</v>
      </c>
      <c r="D63" s="139"/>
    </row>
    <row r="64" spans="3:10" ht="15.75" thickBot="1">
      <c r="D64" s="136"/>
    </row>
    <row r="65" spans="3:10" ht="15.75" thickBot="1">
      <c r="C65" s="127" t="s">
        <v>128</v>
      </c>
      <c r="D65" s="129"/>
    </row>
    <row r="66" spans="3:10" ht="15.75" thickBot="1">
      <c r="C66" s="127" t="s">
        <v>418</v>
      </c>
      <c r="D66" s="139"/>
    </row>
    <row r="67" spans="3:10">
      <c r="D67" s="136"/>
    </row>
    <row r="68" spans="3:10" ht="15.75">
      <c r="C68" s="167" t="s">
        <v>433</v>
      </c>
      <c r="D68" s="164"/>
      <c r="E68" s="165"/>
      <c r="F68" s="165"/>
      <c r="G68" s="165"/>
      <c r="H68" s="165"/>
      <c r="I68" s="165"/>
      <c r="J68" s="165"/>
    </row>
    <row r="69" spans="3:10" ht="30.75" thickBot="1">
      <c r="C69" s="179" t="s">
        <v>460</v>
      </c>
      <c r="D69" s="130"/>
      <c r="E69" s="126"/>
      <c r="F69" s="180" t="s">
        <v>461</v>
      </c>
      <c r="G69" s="126"/>
      <c r="H69" s="126"/>
      <c r="I69" s="178" t="s">
        <v>584</v>
      </c>
    </row>
    <row r="70" spans="3:10" ht="15.75" thickBot="1">
      <c r="C70" s="127" t="s">
        <v>128</v>
      </c>
      <c r="D70" s="134" t="s">
        <v>598</v>
      </c>
      <c r="F70" s="127" t="s">
        <v>128</v>
      </c>
      <c r="G70" s="134" t="s">
        <v>597</v>
      </c>
      <c r="I70" s="127" t="s">
        <v>128</v>
      </c>
      <c r="J70" s="134" t="s">
        <v>537</v>
      </c>
    </row>
    <row r="71" spans="3:10" ht="15.75" thickBot="1">
      <c r="C71" s="127" t="s">
        <v>437</v>
      </c>
      <c r="D71" s="139">
        <f>'ENTRADA DE DATOS'!D71+'ENTRADA DE DATOS'!D74+'ENTRADA DE DATOS'!D77</f>
        <v>0</v>
      </c>
      <c r="F71" s="127" t="s">
        <v>437</v>
      </c>
      <c r="G71" s="139">
        <f>'ENTRADA DE DATOS'!G71+'ENTRADA DE DATOS'!G74+'ENTRADA DE DATOS'!G77+'ENTRADA DE DATOS'!G80+'ENTRADA DE DATOS'!G83</f>
        <v>0</v>
      </c>
      <c r="I71" s="127" t="s">
        <v>437</v>
      </c>
      <c r="J71" s="139">
        <f>'ENTRADA DE DATOS'!J71+'ENTRADA DE DATOS'!J74+'ENTRADA DE DATOS'!J77+'ENTRADA DE DATOS'!J80</f>
        <v>0</v>
      </c>
    </row>
    <row r="72" spans="3:10" ht="15.75" thickBot="1">
      <c r="D72" s="136"/>
      <c r="G72" s="136"/>
      <c r="I72" s="127"/>
      <c r="J72" s="136"/>
    </row>
    <row r="73" spans="3:10" ht="15.75" thickBot="1">
      <c r="C73" s="127" t="s">
        <v>128</v>
      </c>
      <c r="D73" s="134"/>
      <c r="F73" s="127" t="s">
        <v>128</v>
      </c>
      <c r="G73" s="134"/>
      <c r="I73" s="127" t="s">
        <v>128</v>
      </c>
      <c r="J73" s="134"/>
    </row>
    <row r="74" spans="3:10" ht="15.75" thickBot="1">
      <c r="C74" s="127" t="s">
        <v>438</v>
      </c>
      <c r="D74" s="139"/>
      <c r="F74" s="127" t="s">
        <v>438</v>
      </c>
      <c r="G74" s="139"/>
      <c r="I74" s="127" t="s">
        <v>438</v>
      </c>
      <c r="J74" s="139"/>
    </row>
    <row r="75" spans="3:10" ht="15.75" thickBot="1">
      <c r="D75" s="136"/>
      <c r="G75" s="136"/>
      <c r="I75" s="127"/>
      <c r="J75" s="136"/>
    </row>
    <row r="76" spans="3:10" ht="15.75" thickBot="1">
      <c r="C76" s="127" t="s">
        <v>128</v>
      </c>
      <c r="D76" s="134"/>
      <c r="F76" s="127" t="s">
        <v>128</v>
      </c>
      <c r="G76" s="134"/>
      <c r="I76" s="127" t="s">
        <v>128</v>
      </c>
      <c r="J76" s="134"/>
    </row>
    <row r="77" spans="3:10" ht="15.75" thickBot="1">
      <c r="C77" s="127" t="s">
        <v>439</v>
      </c>
      <c r="D77" s="139"/>
      <c r="F77" s="127" t="s">
        <v>439</v>
      </c>
      <c r="G77" s="139"/>
      <c r="I77" s="127" t="s">
        <v>439</v>
      </c>
      <c r="J77" s="139"/>
    </row>
    <row r="78" spans="3:10" ht="15.75" thickBot="1">
      <c r="D78" s="136"/>
      <c r="G78" s="136"/>
      <c r="I78" s="127"/>
      <c r="J78" s="136"/>
    </row>
    <row r="79" spans="3:10" ht="15.75" thickBot="1">
      <c r="D79" s="136"/>
      <c r="F79" s="127" t="s">
        <v>128</v>
      </c>
      <c r="G79" s="134"/>
      <c r="I79" s="127" t="s">
        <v>128</v>
      </c>
      <c r="J79" s="134"/>
    </row>
    <row r="80" spans="3:10" ht="15.75" thickBot="1">
      <c r="D80" s="136"/>
      <c r="F80" s="127" t="s">
        <v>462</v>
      </c>
      <c r="G80" s="139"/>
      <c r="I80" s="127" t="s">
        <v>462</v>
      </c>
      <c r="J80" s="139"/>
    </row>
    <row r="81" spans="3:10" ht="15.75" thickBot="1">
      <c r="D81" s="136"/>
      <c r="G81" s="136"/>
      <c r="I81" s="127"/>
      <c r="J81" s="136"/>
    </row>
    <row r="82" spans="3:10" ht="15.75" thickBot="1">
      <c r="D82" s="136"/>
      <c r="F82" s="127" t="s">
        <v>128</v>
      </c>
      <c r="G82" s="134"/>
      <c r="I82" s="127"/>
      <c r="J82" s="136"/>
    </row>
    <row r="83" spans="3:10" ht="15.75" thickBot="1">
      <c r="D83" s="136"/>
      <c r="F83" s="127" t="s">
        <v>535</v>
      </c>
      <c r="G83" s="139"/>
      <c r="I83" s="127"/>
      <c r="J83" s="136"/>
    </row>
    <row r="84" spans="3:10">
      <c r="D84" s="136"/>
      <c r="G84" s="136"/>
      <c r="I84" s="127"/>
      <c r="J84" s="136"/>
    </row>
    <row r="85" spans="3:10" ht="16.5" thickBot="1">
      <c r="C85" s="166" t="s">
        <v>108</v>
      </c>
      <c r="D85" s="164"/>
      <c r="E85" s="165"/>
      <c r="F85" s="165"/>
      <c r="G85" s="165"/>
      <c r="H85" s="165"/>
      <c r="I85" s="165"/>
      <c r="J85" s="165"/>
    </row>
    <row r="86" spans="3:10" ht="15.75" thickBot="1">
      <c r="C86" s="173" t="s">
        <v>560</v>
      </c>
      <c r="D86" s="129"/>
      <c r="F86" s="137" t="s">
        <v>572</v>
      </c>
      <c r="G86" s="129" t="s">
        <v>43</v>
      </c>
      <c r="I86" s="127"/>
      <c r="J86" s="127"/>
    </row>
    <row r="87" spans="3:10" ht="18" thickBot="1">
      <c r="C87" s="174" t="s">
        <v>561</v>
      </c>
      <c r="D87" s="134"/>
      <c r="F87" s="137" t="s">
        <v>566</v>
      </c>
      <c r="G87" s="134">
        <f>'ENTRADA DE DATOS'!G87</f>
        <v>0</v>
      </c>
      <c r="I87" s="127"/>
      <c r="J87" s="127"/>
    </row>
    <row r="88" spans="3:10" ht="15.75" thickBot="1">
      <c r="C88" s="174"/>
      <c r="D88" s="175"/>
      <c r="G88" s="135"/>
      <c r="I88" s="127"/>
      <c r="J88" s="127"/>
    </row>
    <row r="89" spans="3:10" ht="15.75" thickBot="1">
      <c r="C89" s="174" t="s">
        <v>562</v>
      </c>
      <c r="D89" s="129"/>
      <c r="F89" s="137" t="s">
        <v>161</v>
      </c>
      <c r="G89" s="129" t="s">
        <v>43</v>
      </c>
      <c r="I89" s="127"/>
      <c r="J89" s="127"/>
    </row>
    <row r="90" spans="3:10" ht="18" thickBot="1">
      <c r="C90" s="176" t="s">
        <v>563</v>
      </c>
      <c r="D90" s="134"/>
      <c r="F90" s="137" t="s">
        <v>567</v>
      </c>
      <c r="G90" s="134">
        <f>'ENTRADA DE DATOS'!G90</f>
        <v>0</v>
      </c>
      <c r="I90" s="127"/>
      <c r="J90" s="127"/>
    </row>
    <row r="91" spans="3:10" ht="15.75" thickBot="1">
      <c r="D91" s="136"/>
      <c r="G91" s="135"/>
      <c r="I91" s="127"/>
      <c r="J91" s="127"/>
    </row>
    <row r="92" spans="3:10" ht="15.75" thickBot="1">
      <c r="C92" s="137" t="s">
        <v>544</v>
      </c>
      <c r="D92" s="129" t="s">
        <v>43</v>
      </c>
      <c r="F92" s="137" t="s">
        <v>162</v>
      </c>
      <c r="G92" s="129" t="s">
        <v>43</v>
      </c>
      <c r="I92" s="127"/>
      <c r="J92" s="127"/>
    </row>
    <row r="93" spans="3:10" ht="18" thickBot="1">
      <c r="C93" s="137" t="s">
        <v>165</v>
      </c>
      <c r="D93" s="134">
        <f>'ENTRADA DE DATOS'!D93</f>
        <v>0</v>
      </c>
      <c r="F93" s="137" t="s">
        <v>568</v>
      </c>
      <c r="G93" s="134">
        <f>'ENTRADA DE DATOS'!G93</f>
        <v>0</v>
      </c>
      <c r="I93" s="127"/>
      <c r="J93" s="127"/>
    </row>
    <row r="94" spans="3:10" ht="15.75" thickBot="1">
      <c r="D94" s="136"/>
      <c r="G94" s="135"/>
      <c r="I94" s="127"/>
      <c r="J94" s="127"/>
    </row>
    <row r="95" spans="3:10" ht="15.75" thickBot="1">
      <c r="C95" s="137" t="s">
        <v>159</v>
      </c>
      <c r="D95" s="129" t="s">
        <v>43</v>
      </c>
      <c r="F95" s="137" t="s">
        <v>163</v>
      </c>
      <c r="G95" s="129" t="s">
        <v>43</v>
      </c>
      <c r="I95" s="127"/>
      <c r="J95" s="127"/>
    </row>
    <row r="96" spans="3:10" ht="18" thickBot="1">
      <c r="C96" s="137" t="s">
        <v>564</v>
      </c>
      <c r="D96" s="134">
        <f>'ENTRADA DE DATOS'!D96</f>
        <v>0</v>
      </c>
      <c r="F96" s="137" t="s">
        <v>569</v>
      </c>
      <c r="G96" s="134">
        <f>'ENTRADA DE DATOS'!G96</f>
        <v>0</v>
      </c>
      <c r="I96" s="127"/>
      <c r="J96" s="127"/>
    </row>
    <row r="97" spans="3:10" ht="15.75" thickBot="1">
      <c r="D97" s="136"/>
      <c r="F97" s="137"/>
      <c r="G97" s="135"/>
      <c r="I97" s="127"/>
      <c r="J97" s="127"/>
    </row>
    <row r="98" spans="3:10" ht="15.75" thickBot="1">
      <c r="C98" s="137" t="s">
        <v>160</v>
      </c>
      <c r="D98" s="129" t="s">
        <v>43</v>
      </c>
      <c r="F98" s="137" t="s">
        <v>164</v>
      </c>
      <c r="G98" s="129" t="s">
        <v>43</v>
      </c>
      <c r="I98" s="127"/>
      <c r="J98" s="127"/>
    </row>
    <row r="99" spans="3:10" ht="18" thickBot="1">
      <c r="C99" s="137" t="s">
        <v>565</v>
      </c>
      <c r="D99" s="134">
        <f>'ENTRADA DE DATOS'!D99</f>
        <v>0</v>
      </c>
      <c r="F99" s="137" t="s">
        <v>570</v>
      </c>
      <c r="G99" s="134">
        <f>'ENTRADA DE DATOS'!G99</f>
        <v>0</v>
      </c>
      <c r="I99" s="127"/>
      <c r="J99" s="127"/>
    </row>
    <row r="100" spans="3:10">
      <c r="D100" s="136"/>
      <c r="I100" s="127"/>
      <c r="J100" s="127"/>
    </row>
    <row r="101" spans="3:10" ht="16.5" thickBot="1">
      <c r="C101" s="166" t="s">
        <v>109</v>
      </c>
      <c r="D101" s="164"/>
      <c r="E101" s="165"/>
      <c r="F101" s="165"/>
      <c r="G101" s="165"/>
      <c r="H101" s="165"/>
      <c r="I101" s="165"/>
      <c r="J101" s="165"/>
    </row>
    <row r="102" spans="3:10" ht="15.75" thickBot="1">
      <c r="C102" s="173" t="s">
        <v>590</v>
      </c>
      <c r="D102" s="129"/>
      <c r="I102" s="127"/>
      <c r="J102" s="127"/>
    </row>
    <row r="103" spans="3:10" ht="15.75" thickBot="1">
      <c r="C103" s="181" t="s">
        <v>589</v>
      </c>
      <c r="D103" s="139"/>
      <c r="I103" s="127"/>
      <c r="J103" s="127"/>
    </row>
    <row r="104" spans="3:10" ht="15.75" thickBot="1">
      <c r="C104" s="181"/>
      <c r="D104" s="175"/>
      <c r="I104" s="127"/>
      <c r="J104" s="127"/>
    </row>
    <row r="105" spans="3:10" ht="15.75" thickBot="1">
      <c r="C105" s="181" t="s">
        <v>591</v>
      </c>
      <c r="D105" s="129"/>
      <c r="I105" s="127"/>
      <c r="J105" s="127"/>
    </row>
    <row r="106" spans="3:10" ht="15.75" thickBot="1">
      <c r="C106" s="182" t="s">
        <v>592</v>
      </c>
      <c r="D106" s="139"/>
      <c r="I106" s="127"/>
      <c r="J106" s="127"/>
    </row>
    <row r="107" spans="3:10" ht="15.75" thickBot="1">
      <c r="D107" s="136"/>
      <c r="I107" s="127"/>
      <c r="J107" s="127"/>
    </row>
    <row r="108" spans="3:10" ht="15.75" thickBot="1">
      <c r="C108" s="137" t="s">
        <v>545</v>
      </c>
      <c r="D108" s="129" t="s">
        <v>113</v>
      </c>
      <c r="I108" s="127"/>
      <c r="J108" s="127"/>
    </row>
    <row r="109" spans="3:10" ht="15.75" thickBot="1">
      <c r="C109" s="127" t="s">
        <v>126</v>
      </c>
      <c r="D109" s="134">
        <f>'ENTRADA DE DATOS'!D109</f>
        <v>0</v>
      </c>
      <c r="I109" s="127"/>
      <c r="J109" s="127"/>
    </row>
    <row r="110" spans="3:10" ht="15.75" thickBot="1">
      <c r="D110" s="136"/>
      <c r="I110" s="127"/>
      <c r="J110" s="127"/>
    </row>
    <row r="111" spans="3:10" ht="15.75" thickBot="1">
      <c r="C111" s="137" t="s">
        <v>174</v>
      </c>
      <c r="D111" s="129" t="s">
        <v>113</v>
      </c>
      <c r="I111" s="127"/>
      <c r="J111" s="127"/>
    </row>
    <row r="112" spans="3:10" ht="15.75" thickBot="1">
      <c r="C112" s="127" t="s">
        <v>176</v>
      </c>
      <c r="D112" s="134">
        <f>'ENTRADA DE DATOS'!D112</f>
        <v>0</v>
      </c>
      <c r="I112" s="127"/>
      <c r="J112" s="127"/>
    </row>
    <row r="113" spans="2:11" ht="15.75" thickBot="1">
      <c r="D113" s="136"/>
      <c r="I113" s="127"/>
      <c r="J113" s="127"/>
    </row>
    <row r="114" spans="2:11" ht="15.75" thickBot="1">
      <c r="C114" s="137" t="s">
        <v>175</v>
      </c>
      <c r="D114" s="129" t="s">
        <v>113</v>
      </c>
      <c r="I114" s="127"/>
      <c r="J114" s="127"/>
    </row>
    <row r="115" spans="2:11" ht="15.75" thickBot="1">
      <c r="C115" s="127" t="s">
        <v>177</v>
      </c>
      <c r="D115" s="134">
        <f>'ENTRADA DE DATOS'!D115</f>
        <v>0</v>
      </c>
      <c r="I115" s="127"/>
      <c r="J115" s="127"/>
    </row>
    <row r="116" spans="2:11" ht="15.75" thickBot="1">
      <c r="D116" s="136"/>
      <c r="I116" s="127"/>
      <c r="J116" s="127"/>
    </row>
    <row r="117" spans="2:11" ht="15.75">
      <c r="B117" s="137"/>
      <c r="C117" s="168" t="s">
        <v>110</v>
      </c>
      <c r="D117" s="187"/>
      <c r="E117" s="137"/>
      <c r="F117" s="137"/>
      <c r="G117" s="137"/>
      <c r="H117" s="137"/>
      <c r="I117" s="137"/>
      <c r="J117" s="137"/>
      <c r="K117" s="137"/>
    </row>
    <row r="118" spans="2:11" ht="27.75" customHeight="1">
      <c r="B118" s="137"/>
      <c r="C118" s="249" t="s">
        <v>571</v>
      </c>
      <c r="D118" s="250"/>
      <c r="E118" s="184"/>
      <c r="F118" s="184"/>
      <c r="G118" s="137"/>
      <c r="H118" s="137"/>
      <c r="I118" s="137"/>
      <c r="J118" s="137"/>
      <c r="K118" s="137"/>
    </row>
    <row r="119" spans="2:11">
      <c r="B119" s="137"/>
      <c r="C119" s="169"/>
      <c r="D119" s="172"/>
      <c r="E119" s="185"/>
      <c r="F119" s="185"/>
      <c r="G119" s="137"/>
      <c r="H119" s="137"/>
      <c r="I119" s="137"/>
      <c r="J119" s="137"/>
      <c r="K119" s="137"/>
    </row>
    <row r="120" spans="2:11">
      <c r="B120" s="137"/>
      <c r="C120" s="170"/>
      <c r="D120" s="188"/>
      <c r="E120" s="248"/>
      <c r="F120" s="248"/>
      <c r="G120" s="142"/>
      <c r="H120" s="142"/>
      <c r="I120" s="142"/>
      <c r="J120" s="142"/>
      <c r="K120" s="137"/>
    </row>
    <row r="121" spans="2:11" ht="42" customHeight="1">
      <c r="B121" s="137"/>
      <c r="C121" s="171"/>
      <c r="D121" s="145" t="s">
        <v>469</v>
      </c>
      <c r="E121" s="186"/>
      <c r="F121" s="186"/>
      <c r="H121" s="146"/>
      <c r="I121" s="146"/>
      <c r="J121" s="146"/>
      <c r="K121" s="137"/>
    </row>
    <row r="122" spans="2:11" ht="18.75">
      <c r="B122" s="137"/>
      <c r="C122" s="147" t="s">
        <v>447</v>
      </c>
      <c r="D122" s="189">
        <f>IF(D37=Tablas!C6,Tablas!D6,IF('ED MADERA-OTROS'!D37=Tablas!C8,Tablas!D8,IF('ED MADERA-OTROS'!D37=Tablas!C9,Tablas!D9,IF('ED MADERA-OTROS'!D37=Tablas!C10,Tablas!D10,0))))</f>
        <v>0</v>
      </c>
      <c r="E122" s="183"/>
      <c r="F122" s="183"/>
      <c r="G122" s="142"/>
      <c r="H122" s="142"/>
      <c r="I122" s="142"/>
      <c r="J122" s="142"/>
      <c r="K122" s="137"/>
    </row>
    <row r="123" spans="2:11" ht="18.75">
      <c r="B123" s="137"/>
      <c r="C123" s="147" t="s">
        <v>448</v>
      </c>
      <c r="D123" s="189" t="e">
        <f>(IF('ED MADERA-OTROS'!D40=Tablas!C29,Tablas!D29*D41,IF('ED MADERA-OTROS'!D40=Tablas!C30,Tablas!D30*D41,IF('ED MADERA-OTROS'!D40=Tablas!C31,Tablas!D31*D41,IF('ED MADERA-OTROS'!D40=Tablas!C32,Tablas!D32*D41,IF('ED MADERA-OTROS'!D40=Tablas!C33,Tablas!D33*D41,IF('ED MADERA-OTROS'!D40=Tablas!C34,Tablas!D34*D41,0))))))
+IF('ED MADERA-OTROS'!D43=Tablas!C29,Tablas!D29*D44,IF('ED MADERA-OTROS'!D43=Tablas!C30,Tablas!D30*D44,IF('ED MADERA-OTROS'!D43=Tablas!C31,Tablas!D31*D44,IF('ED MADERA-OTROS'!D43=Tablas!C32,Tablas!D32*D44,IF('ED MADERA-OTROS'!D43=Tablas!C33,Tablas!D33*D44,IF('ED MADERA-OTROS'!D43=Tablas!C34,Tablas!D34*D44,0))))))
+IF('ED MADERA-OTROS'!D46=Tablas!C29,Tablas!D29*D47,IF('ED MADERA-OTROS'!D46=Tablas!C30,Tablas!D30*D47,IF('ED MADERA-OTROS'!D46=Tablas!C31,Tablas!D31*D47,IF('ED MADERA-OTROS'!D46=Tablas!C32,Tablas!D32*D47,IF('ED MADERA-OTROS'!D46=Tablas!C33,Tablas!D33*D47,IF('ED MADERA-OTROS'!D46=Tablas!C34,Tablas!D34*D47,0))))))
+IF('ED MADERA-OTROS'!D49=Tablas!C29,Tablas!D29*D50,IF('ED MADERA-OTROS'!D49=Tablas!C30,Tablas!D30*D50,IF('ED MADERA-OTROS'!D49=Tablas!C31,Tablas!D31*D50,IF('ED MADERA-OTROS'!D49=Tablas!C32,Tablas!D32*D50,IF('ED MADERA-OTROS'!D49=Tablas!C33,Tablas!D33*D50,IF('ED MADERA-OTROS'!D49=Tablas!C34,Tablas!D34*D50,0))))))
+IF('ED MADERA-OTROS'!D52=Tablas!C29,Tablas!D29*D53,IF('ED MADERA-OTROS'!D52=Tablas!C30,Tablas!D30*D53,IF('ED MADERA-OTROS'!D52=Tablas!C31,Tablas!D31*D53,IF('ED MADERA-OTROS'!D52=Tablas!C32,Tablas!D32*D53,IF('ED MADERA-OTROS'!D52=Tablas!C33,Tablas!D33*D53,IF('ED MADERA-OTROS'!D52=Tablas!C34,Tablas!D34*D53,0))))))
+IF('ED MADERA-OTROS'!D55=Tablas!C29,Tablas!D29*D56,IF('ED MADERA-OTROS'!D55=Tablas!C30,Tablas!D30*D56,IF('ED MADERA-OTROS'!D55=Tablas!C31,Tablas!D31*D56,IF('ED MADERA-OTROS'!D55=Tablas!C32,Tablas!D32*D56,IF('ED MADERA-OTROS'!D55=Tablas!C33,Tablas!D33*D56,IF('ED MADERA-OTROS'!D55=Tablas!C34,Tablas!D34*D56,0)))))))/(IF(D23&gt;0,D34,G34))</f>
        <v>#DIV/0!</v>
      </c>
      <c r="E123" s="183"/>
      <c r="F123" s="183"/>
      <c r="G123" s="142"/>
      <c r="H123" s="142"/>
      <c r="I123" s="142"/>
      <c r="J123" s="142"/>
      <c r="K123" s="137"/>
    </row>
    <row r="124" spans="2:11" ht="18.75">
      <c r="B124" s="137"/>
      <c r="C124" s="147" t="s">
        <v>450</v>
      </c>
      <c r="D124" s="189" t="e">
        <f>(IF(D59=Tablas!C26,'ED MADERA-OTROS'!D60*Tablas!D26,IF(D59=Tablas!C27,'ED MADERA-OTROS'!D60*Tablas!D27,IF(D59=Tablas!C28,'ED MADERA-OTROS'!D60*Tablas!D28,0)))
+IF(D62=Tablas!C26,'ED MADERA-OTROS'!D63*Tablas!D26,IF(D62=Tablas!C27,'ED MADERA-OTROS'!D63*Tablas!D27,IF(D62=Tablas!C28,'ED MADERA-OTROS'!D63*Tablas!D28,0)))
+IF(D65=Tablas!C26,'ED MADERA-OTROS'!D66*Tablas!D26,IF(D65=Tablas!C27,'ED MADERA-OTROS'!D66*Tablas!D27,IF(D65=Tablas!C28,'ED MADERA-OTROS'!D66*Tablas!D28,0))))/(IF(D23&gt;0,D34,G34))</f>
        <v>#DIV/0!</v>
      </c>
      <c r="E124" s="183"/>
      <c r="F124" s="183"/>
      <c r="G124" s="142"/>
      <c r="H124" s="142"/>
      <c r="I124" s="142"/>
      <c r="J124" s="142"/>
      <c r="K124" s="137"/>
    </row>
    <row r="125" spans="2:11" ht="18.75">
      <c r="B125" s="137"/>
      <c r="C125" s="147" t="s">
        <v>452</v>
      </c>
      <c r="D125" s="189" t="e">
        <f>(IF(D70=Tablas!C36,Tablas!D36*D71,IF(D70=Tablas!C37,Tablas!D37*D71,IF(D70=Tablas!C38,Tablas!D38*D71,0)))
+IF(D73=Tablas!C36,Tablas!D36*D74,IF(D73=Tablas!C37,Tablas!D37*D74,IF(D73=Tablas!C38,Tablas!D38*D74,0)))
+IF(D76=Tablas!C36,Tablas!D36*D77,IF(D76=Tablas!C37,Tablas!D37*D77,IF(D76=Tablas!C38,Tablas!D38*D77,0)))
+IF(G70=Tablas!C39,Tablas!D39*G71,IF(G70=Tablas!C40,Tablas!D40*G71,IF(G70=Tablas!C41,Tablas!D41*G71,IF(G70=Tablas!C42,Tablas!D42*G71,IF(G70=Tablas!C43,Tablas!D43*G71,0)))))
+IF(G73=Tablas!C39,Tablas!D39*G74,IF(G73=Tablas!C40,Tablas!D40*G74,IF(G73=Tablas!C41,Tablas!D41*G74,IF(G73=Tablas!C42,Tablas!D42*G74,IF(G73=Tablas!C43,Tablas!D43*G74,0)))))
+IF(G76=Tablas!C39,Tablas!D39*G77,IF(G76=Tablas!C40,Tablas!D40*G77,IF(G76=Tablas!C41,Tablas!D41*G77,IF(G76=Tablas!C42,Tablas!D42*G77,IF(G76=Tablas!C43,Tablas!D43*G77,0)))))
+IF(G79=Tablas!C39,Tablas!D39*G80,IF(G79=Tablas!C40,Tablas!D40*G80,IF(G79=Tablas!C41,Tablas!D41*G80,IF(G79=Tablas!C42,Tablas!D42*G80,IF(G79=Tablas!C43,Tablas!D43*G80,0)))))
+IF(G82=Tablas!C39,Tablas!D39*G83,IF(G82=Tablas!C40,Tablas!D40*G83,IF(G82=Tablas!C41,Tablas!D41*G83,IF(G83=Tablas!C42,Tablas!D42*G80,IF(G83=Tablas!C43,Tablas!D43*G80,0)))))
+IF(J70=Tablas!C39,Tablas!D39*J71,IF(J70=Tablas!C40,Tablas!D40*J71,IF(J70=Tablas!C41,Tablas!D41*J71,IF(J70=Tablas!C42,Tablas!D42*J71,IF(J70=Tablas!C43,Tablas!D43*J71,0)))))
+IF(J73=Tablas!C39,Tablas!D39*J74,IF(J73=Tablas!C40,Tablas!D40*J74,IF(J73=Tablas!C41,Tablas!D41*J74,IF(J73=Tablas!C42,Tablas!D42*J74,IF(J73=Tablas!C43,Tablas!D43*J74,0)))))
+IF(J76=Tablas!C39,Tablas!D39*J77,IF(J76=Tablas!C40,Tablas!D40*J77,IF(J76=Tablas!C41,Tablas!D41*J77,IF(J76=Tablas!C42,Tablas!D42*J77,IF(J76=Tablas!C43,Tablas!D43*J77,0)))))
+IF(J79=Tablas!C39,Tablas!D39*J80,IF(J79=Tablas!C40,Tablas!D40*J80,IF(J79=Tablas!C41,Tablas!D41*J80,IF(J79=Tablas!C42,Tablas!D42*J80,IF(J79=Tablas!C43,Tablas!D43*J80,0))))))/(IF(D23&gt;0,D34,G34))</f>
        <v>#DIV/0!</v>
      </c>
      <c r="E125" s="183"/>
      <c r="F125" s="183"/>
      <c r="G125" s="142"/>
      <c r="H125" s="142"/>
      <c r="I125" s="142"/>
      <c r="J125" s="142"/>
      <c r="K125" s="137"/>
    </row>
    <row r="126" spans="2:11" ht="18.75">
      <c r="B126" s="137"/>
      <c r="C126" s="147" t="s">
        <v>449</v>
      </c>
      <c r="D126" s="189" t="e">
        <f>(IF(D86=Tablas!C11,Tablas!D11*'ED MADERA-OTROS'!D87,IF('ED MADERA-OTROS'!D86=Tablas!C12,Tablas!D12*'ED MADERA-OTROS'!D87,IF('ED MADERA-OTROS'!D86=Tablas!C13,Tablas!D13*'ED MADERA-OTROS'!D87,IF('ED MADERA-OTROS'!D86=Tablas!C14,Tablas!D14*'ED MADERA-OTROS'!D87,IF('ED MADERA-OTROS'!D86=Tablas!C15,Tablas!D15*'ED MADERA-OTROS'!D87,IF('ED MADERA-OTROS'!D86=Tablas!C16,Tablas!D16*'ED MADERA-OTROS'!D87,IF('ED MADERA-OTROS'!D86=Tablas!C17,Tablas!D17*'ED MADERA-OTROS'!D87,IF('ED MADERA-OTROS'!D86=Tablas!C18,Tablas!D18*'ED MADERA-OTROS'!D87,IF('ED MADERA-OTROS'!D86=Tablas!C19,Tablas!D19*'ED MADERA-OTROS'!D87,IF('ED MADERA-OTROS'!D86=Tablas!C20,Tablas!D20*'ED MADERA-OTROS'!D87,0))))))))))
+ IF(D89=Tablas!C11,Tablas!D11*'ED MADERA-OTROS'!D90,IF('ED MADERA-OTROS'!D89=Tablas!C12,Tablas!D12*'ED MADERA-OTROS'!D90,IF('ED MADERA-OTROS'!D89=Tablas!C13,Tablas!D13*'ED MADERA-OTROS'!D90,IF('ED MADERA-OTROS'!D89=Tablas!C14,Tablas!D14*'ED MADERA-OTROS'!D90,IF('ED MADERA-OTROS'!D89=Tablas!C15,Tablas!D15*'ED MADERA-OTROS'!D90,IF('ED MADERA-OTROS'!D89=Tablas!C16,Tablas!D16*'ED MADERA-OTROS'!D90,IF('ED MADERA-OTROS'!D89=Tablas!C17,Tablas!D17*'ED MADERA-OTROS'!D90,IF('ED MADERA-OTROS'!D89=Tablas!C18,Tablas!D18*'ED MADERA-OTROS'!D90,IF('ED MADERA-OTROS'!D89=Tablas!C19,Tablas!D19*'ED MADERA-OTROS'!D90,IF('ED MADERA-OTROS'!D89=Tablas!C20,Tablas!D20*'ED MADERA-OTROS'!D90,0))))))))))
+ IF(D92=Tablas!C11,Tablas!D11*'ED MADERA-OTROS'!D93,IF('ED MADERA-OTROS'!D92=Tablas!C12,Tablas!D12*'ED MADERA-OTROS'!D93,IF('ED MADERA-OTROS'!D92=Tablas!C13,Tablas!D13*'ED MADERA-OTROS'!D93,IF('ED MADERA-OTROS'!D92=Tablas!C14,Tablas!D14*'ED MADERA-OTROS'!D93,IF('ED MADERA-OTROS'!D92=Tablas!C15,Tablas!D15*'ED MADERA-OTROS'!D93,IF('ED MADERA-OTROS'!D92=Tablas!C16,Tablas!D16*'ED MADERA-OTROS'!D93,IF('ED MADERA-OTROS'!D92=Tablas!C17,Tablas!D17*'ED MADERA-OTROS'!D93,IF('ED MADERA-OTROS'!D92=Tablas!C18,Tablas!D18*'ED MADERA-OTROS'!D93,IF('ED MADERA-OTROS'!D92=Tablas!C19,Tablas!D19*'ED MADERA-OTROS'!D93,IF('ED MADERA-OTROS'!D92=Tablas!C20,Tablas!D20*'ED MADERA-OTROS'!D93,0))))))))))
+ IF(D95=Tablas!C11,Tablas!D11*'ED MADERA-OTROS'!D96,IF('ED MADERA-OTROS'!D95=Tablas!C12,Tablas!D12*'ED MADERA-OTROS'!D96,IF('ED MADERA-OTROS'!D95=Tablas!C13,Tablas!D13*'ED MADERA-OTROS'!D96,IF('ED MADERA-OTROS'!D95=Tablas!C14,Tablas!D14*'ED MADERA-OTROS'!D96,IF('ED MADERA-OTROS'!D95=Tablas!C15,Tablas!D15*'ED MADERA-OTROS'!D96,IF('ED MADERA-OTROS'!D95=Tablas!C16,Tablas!D16*'ED MADERA-OTROS'!D96,IF('ED MADERA-OTROS'!D95=Tablas!C17,Tablas!D17*'ED MADERA-OTROS'!D96,IF('ED MADERA-OTROS'!D95=Tablas!C18,Tablas!D18*'ED MADERA-OTROS'!D96,IF('ED MADERA-OTROS'!D95=Tablas!C19,Tablas!D19*'ED MADERA-OTROS'!D96,IF('ED MADERA-OTROS'!D95=Tablas!C20,Tablas!D20*'ED MADERA-OTROS'!D96,0))))))))))
+ IF(D98=Tablas!C11,Tablas!D11*'ED MADERA-OTROS'!D99,IF('ED MADERA-OTROS'!D98=Tablas!C12,Tablas!D12*'ED MADERA-OTROS'!D99,IF('ED MADERA-OTROS'!D98=Tablas!C13,Tablas!D13*'ED MADERA-OTROS'!D99,IF('ED MADERA-OTROS'!D98=Tablas!C14,Tablas!D14*'ED MADERA-OTROS'!D99,IF('ED MADERA-OTROS'!D98=Tablas!C15,Tablas!D15*'ED MADERA-OTROS'!D99,IF('ED MADERA-OTROS'!D98=Tablas!C16,Tablas!D16*'ED MADERA-OTROS'!D99,IF('ED MADERA-OTROS'!D98=Tablas!C17,Tablas!D17*'ED MADERA-OTROS'!D99,IF('ED MADERA-OTROS'!D98=Tablas!C18,Tablas!D18*'ED MADERA-OTROS'!D99,IF('ED MADERA-OTROS'!D98=Tablas!C19,Tablas!D19*'ED MADERA-OTROS'!D99,IF('ED MADERA-OTROS'!D98=Tablas!C20,Tablas!D20*'ED MADERA-OTROS'!D99,0))))))))))
+ IF(G86=Tablas!C11,Tablas!D11*'ED MADERA-OTROS'!G87,IF('ED MADERA-OTROS'!G86=Tablas!C12,Tablas!D12*'ED MADERA-OTROS'!G87,IF('ED MADERA-OTROS'!G86=Tablas!C13,Tablas!D13*'ED MADERA-OTROS'!G87,IF('ED MADERA-OTROS'!G86=Tablas!C14,Tablas!D14*'ED MADERA-OTROS'!G87,IF('ED MADERA-OTROS'!G86=Tablas!C15,Tablas!D15*'ED MADERA-OTROS'!G87,IF('ED MADERA-OTROS'!G86=Tablas!C16,Tablas!D16*'ED MADERA-OTROS'!G87,IF('ED MADERA-OTROS'!G86=Tablas!C17,Tablas!D17*'ED MADERA-OTROS'!G87,IF('ED MADERA-OTROS'!G86=Tablas!C18,Tablas!D18*'ED MADERA-OTROS'!G87,IF('ED MADERA-OTROS'!G86=Tablas!C19,Tablas!D19*'ED MADERA-OTROS'!G87,IF('ED MADERA-OTROS'!G86=Tablas!C20,Tablas!D20*'ED MADERA-OTROS'!G87,0))))))))))
+ IF(G89=Tablas!C11,Tablas!D11*'ED MADERA-OTROS'!G90,IF('ED MADERA-OTROS'!G89=Tablas!C12,Tablas!D12*'ED MADERA-OTROS'!G90,IF('ED MADERA-OTROS'!G89=Tablas!C13,Tablas!D13*'ED MADERA-OTROS'!G90,IF('ED MADERA-OTROS'!G89=Tablas!C14,Tablas!D14*'ED MADERA-OTROS'!G90,IF('ED MADERA-OTROS'!G89=Tablas!C15,Tablas!D15*'ED MADERA-OTROS'!G90,IF('ED MADERA-OTROS'!G89=Tablas!C16,Tablas!D16*'ED MADERA-OTROS'!G90,IF('ED MADERA-OTROS'!G89=Tablas!C17,Tablas!D17*'ED MADERA-OTROS'!G90,IF('ED MADERA-OTROS'!G89=Tablas!C18,Tablas!D18*'ED MADERA-OTROS'!G90,IF('ED MADERA-OTROS'!G89=Tablas!C19,Tablas!D19*'ED MADERA-OTROS'!G90,IF('ED MADERA-OTROS'!G89=Tablas!C20,Tablas!D20*'ED MADERA-OTROS'!G90,0))))))))))
+ IF(G92=Tablas!C11,Tablas!D11*'ED MADERA-OTROS'!G93,IF('ED MADERA-OTROS'!G92=Tablas!C12,Tablas!D12*'ED MADERA-OTROS'!G93,IF('ED MADERA-OTROS'!G92=Tablas!C13,Tablas!D13*'ED MADERA-OTROS'!G93,IF('ED MADERA-OTROS'!G92=Tablas!C14,Tablas!D14*'ED MADERA-OTROS'!G93,IF('ED MADERA-OTROS'!G92=Tablas!C15,Tablas!D15*'ED MADERA-OTROS'!G93,IF('ED MADERA-OTROS'!G92=Tablas!C16,Tablas!D16*'ED MADERA-OTROS'!G93,IF('ED MADERA-OTROS'!G92=Tablas!C17,Tablas!D17*'ED MADERA-OTROS'!G93,IF('ED MADERA-OTROS'!G92=Tablas!C18,Tablas!D18*'ED MADERA-OTROS'!G93,IF('ED MADERA-OTROS'!G92=Tablas!C19,Tablas!D19*'ED MADERA-OTROS'!G93,IF('ED MADERA-OTROS'!G92=Tablas!C20,Tablas!D20*'ED MADERA-OTROS'!G93,0))))))))))
+ IF(G95=Tablas!C11,Tablas!D11*'ED MADERA-OTROS'!G96,IF('ED MADERA-OTROS'!G95=Tablas!C12,Tablas!D12*'ED MADERA-OTROS'!G96,IF('ED MADERA-OTROS'!G95=Tablas!C13,Tablas!D13*'ED MADERA-OTROS'!G96,IF('ED MADERA-OTROS'!G95=Tablas!C14,Tablas!D14*'ED MADERA-OTROS'!G96,IF('ED MADERA-OTROS'!G95=Tablas!C15,Tablas!D15*'ED MADERA-OTROS'!G96,IF('ED MADERA-OTROS'!G95=Tablas!C16,Tablas!D16*'ED MADERA-OTROS'!G96,IF('ED MADERA-OTROS'!G95=Tablas!C17,Tablas!D17*'ED MADERA-OTROS'!G96,IF('ED MADERA-OTROS'!G95=Tablas!C18,Tablas!D18*'ED MADERA-OTROS'!G96,IF('ED MADERA-OTROS'!G95=Tablas!C19,Tablas!D19*'ED MADERA-OTROS'!G96,IF('ED MADERA-OTROS'!G95=Tablas!C20,Tablas!D20*'ED MADERA-OTROS'!G96,0))))))))))
+ IF(G98=Tablas!C11,Tablas!D11*'ED MADERA-OTROS'!G99,IF('ED MADERA-OTROS'!G98=Tablas!C12,Tablas!D12*'ED MADERA-OTROS'!G99,IF('ED MADERA-OTROS'!G98=Tablas!C13,Tablas!D13*'ED MADERA-OTROS'!G99,IF('ED MADERA-OTROS'!G98=Tablas!C14,Tablas!D14*'ED MADERA-OTROS'!G99,IF('ED MADERA-OTROS'!G98=Tablas!C15,Tablas!D15*'ED MADERA-OTROS'!G99,IF('ED MADERA-OTROS'!G98=Tablas!C16,Tablas!D16*'ED MADERA-OTROS'!G99,IF('ED MADERA-OTROS'!G98=Tablas!C17,Tablas!D17*'ED MADERA-OTROS'!G99,IF('ED MADERA-OTROS'!G98=Tablas!C18,Tablas!D18*'ED MADERA-OTROS'!G99,IF('ED MADERA-OTROS'!G98=Tablas!C19,Tablas!D19*'ED MADERA-OTROS'!G99,IF('ED MADERA-OTROS'!G98=Tablas!C20,Tablas!D20*'ED MADERA-OTROS'!G99,0)))))))))))/(IF(D23&gt;0,D34,G34))</f>
        <v>#DIV/0!</v>
      </c>
      <c r="E126" s="183"/>
      <c r="F126" s="183"/>
      <c r="G126" s="142"/>
      <c r="H126" s="142"/>
      <c r="I126" s="142"/>
      <c r="J126" s="142"/>
      <c r="K126" s="137"/>
    </row>
    <row r="127" spans="2:11" ht="33.75">
      <c r="B127" s="137"/>
      <c r="C127" s="155" t="s">
        <v>548</v>
      </c>
      <c r="D127" s="189" t="e">
        <f>(IF(D102=Tablas!C21,Tablas!D21*'ED MADERA-OTROS'!D103,IF(D102=Tablas!C22,Tablas!D22*'ED MADERA-OTROS'!D103,IF(D102=Tablas!C23,Tablas!D23*'ED MADERA-OTROS'!D103,IF(D102=Tablas!C24,Tablas!D24*'ED MADERA-OTROS'!D103,IF(D102=Tablas!C25,Tablas!D25*'ED MADERA-OTROS'!D103,0)))))
+IF(D105=Tablas!C21,Tablas!D21*'ED MADERA-OTROS'!D106,IF(D105=Tablas!C22,Tablas!D22*'ED MADERA-OTROS'!D106,IF(D105=Tablas!C23,Tablas!D23*'ED MADERA-OTROS'!D106,IF(D105=Tablas!C24,Tablas!D24*'ED MADERA-OTROS'!D106,IF(D105=Tablas!C25,Tablas!D25*'ED MADERA-OTROS'!D106,0))))
+IF(D108=Tablas!C21,Tablas!D21*'ED MADERA-OTROS'!D109,IF(D108=Tablas!C22,Tablas!D22*'ED MADERA-OTROS'!D109,IF(D108=Tablas!C23,Tablas!D23*'ED MADERA-OTROS'!D109,IF(D108=Tablas!C24,Tablas!D24*'ED MADERA-OTROS'!D109,IF(D108=Tablas!C25,Tablas!D25*'ED MADERA-OTROS'!D109,0))))
+IF(D111=Tablas!C21,Tablas!D21*'ED MADERA-OTROS'!D112,IF(D111=Tablas!C22,Tablas!D22*'ED MADERA-OTROS'!D112,IF(D111=Tablas!C23,Tablas!D23*'ED MADERA-OTROS'!D112,IF(D111=Tablas!C24,Tablas!D24*'ED MADERA-OTROS'!D112,IF(D111=Tablas!C25,Tablas!D25*'ED MADERA-OTROS'!D112,0))))))
+IF(D114=Tablas!C21,Tablas!D21*'ED MADERA-OTROS'!D115,IF(D114=Tablas!C22,Tablas!D22*'ED MADERA-OTROS'!D115,IF(D114=Tablas!C23,Tablas!D23*'ED MADERA-OTROS'!D115,IF(D114=Tablas!C24,Tablas!D24*'ED MADERA-OTROS'!D115,IF(D114=Tablas!C25,Tablas!D25*'ED MADERA-OTROS'!D115,0)))))))/(IF(D23&gt;0,D34,G34))</f>
        <v>#DIV/0!</v>
      </c>
      <c r="E127" s="183"/>
      <c r="F127" s="183"/>
      <c r="G127" s="142"/>
      <c r="H127" s="142"/>
      <c r="I127" s="142"/>
      <c r="J127" s="142"/>
      <c r="K127" s="137"/>
    </row>
    <row r="128" spans="2:11" ht="18.75" thickBot="1">
      <c r="B128" s="137"/>
      <c r="C128" s="148" t="s">
        <v>451</v>
      </c>
      <c r="D128" s="190" t="e">
        <f>SUM(D122:D127)</f>
        <v>#DIV/0!</v>
      </c>
      <c r="E128" s="183"/>
      <c r="F128" s="183"/>
      <c r="G128" s="142"/>
      <c r="H128" s="142"/>
      <c r="I128" s="142"/>
      <c r="J128" s="142"/>
      <c r="K128" s="137"/>
    </row>
    <row r="129" spans="2:11">
      <c r="B129" s="137"/>
      <c r="C129" s="135"/>
      <c r="D129" s="136"/>
      <c r="E129" s="149"/>
      <c r="F129" s="135"/>
      <c r="G129" s="135"/>
      <c r="H129" s="135"/>
      <c r="I129" s="137"/>
      <c r="J129" s="137"/>
      <c r="K129" s="137"/>
    </row>
  </sheetData>
  <mergeCells count="6">
    <mergeCell ref="E120:F120"/>
    <mergeCell ref="C2:J2"/>
    <mergeCell ref="D13:J13"/>
    <mergeCell ref="D14:J14"/>
    <mergeCell ref="D15:J15"/>
    <mergeCell ref="C118:D118"/>
  </mergeCells>
  <pageMargins left="0.7" right="0.7" top="0.75" bottom="0.75" header="0.3" footer="0.3"/>
  <pageSetup paperSize="9" orientation="portrait" horizontalDpi="300" verticalDpi="300" r:id="rId1"/>
  <drawing r:id="rId2"/>
  <legacyDrawing r:id="rId3"/>
  <extLst xmlns:x14="http://schemas.microsoft.com/office/spreadsheetml/2009/9/main">
    <ext uri="{CCE6A557-97BC-4b89-ADB6-D9C93CAAB3DF}">
      <x14:dataValidations xmlns:xm="http://schemas.microsoft.com/office/excel/2006/main" count="8">
        <x14:dataValidation type="list" allowBlank="1" showInputMessage="1" showErrorMessage="1">
          <x14:formula1>
            <xm:f>Tablas!$C$6:$C$10</xm:f>
          </x14:formula1>
          <xm:sqref>D37</xm:sqref>
        </x14:dataValidation>
        <x14:dataValidation type="list" allowBlank="1" showInputMessage="1" showErrorMessage="1">
          <x14:formula1>
            <xm:f>Tablas!$C$29:$C$34</xm:f>
          </x14:formula1>
          <xm:sqref>D52 D55 D43 D46 D49 D40</xm:sqref>
        </x14:dataValidation>
        <x14:dataValidation type="list" allowBlank="1" showInputMessage="1" showErrorMessage="1">
          <x14:formula1>
            <xm:f>Tablas!$C$11:$C$20</xm:f>
          </x14:formula1>
          <xm:sqref>D86 G92 G89 G86 D98 D95 D92 G95 D89 G98</xm:sqref>
        </x14:dataValidation>
        <x14:dataValidation type="list" allowBlank="1" showInputMessage="1" showErrorMessage="1">
          <x14:formula1>
            <xm:f>Tablas!$C$21:$C$25</xm:f>
          </x14:formula1>
          <xm:sqref>D102 D105 D108 D111 D114</xm:sqref>
        </x14:dataValidation>
        <x14:dataValidation type="list" allowBlank="1" showInputMessage="1" showErrorMessage="1">
          <x14:formula1>
            <xm:f>Tablas!$C$26:$C$28</xm:f>
          </x14:formula1>
          <xm:sqref>D59 D62 D65</xm:sqref>
        </x14:dataValidation>
        <x14:dataValidation type="list" allowBlank="1" showInputMessage="1" showErrorMessage="1">
          <x14:formula1>
            <xm:f>Tablas!$C$36:$C$38</xm:f>
          </x14:formula1>
          <xm:sqref>D70 D73 D76</xm:sqref>
        </x14:dataValidation>
        <x14:dataValidation type="list" allowBlank="1" showInputMessage="1" showErrorMessage="1">
          <x14:formula1>
            <xm:f>Tablas!$C$39:$C$43</xm:f>
          </x14:formula1>
          <xm:sqref>G70 G73 G76 G79 G82</xm:sqref>
        </x14:dataValidation>
        <x14:dataValidation type="list" allowBlank="1" showInputMessage="1" showErrorMessage="1">
          <x14:formula1>
            <xm:f>Tablas!$C$44:$C$47</xm:f>
          </x14:formula1>
          <xm:sqref>J70 J73 J76 J79</xm:sqref>
        </x14:dataValidation>
      </x14:dataValidations>
    </ext>
  </extLst>
</worksheet>
</file>

<file path=xl/worksheets/sheet5.xml><?xml version="1.0" encoding="utf-8"?>
<worksheet xmlns="http://schemas.openxmlformats.org/spreadsheetml/2006/main" xmlns:r="http://schemas.openxmlformats.org/officeDocument/2006/relationships">
  <sheetPr codeName="Hoja4"/>
  <dimension ref="B2:K129"/>
  <sheetViews>
    <sheetView topLeftCell="A92" zoomScaleNormal="100" workbookViewId="0">
      <selection activeCell="I69" sqref="I69"/>
    </sheetView>
  </sheetViews>
  <sheetFormatPr baseColWidth="10" defaultColWidth="9.140625" defaultRowHeight="15"/>
  <cols>
    <col min="1" max="1" width="9.140625" style="126"/>
    <col min="2" max="2" width="3" style="126" bestFit="1" customWidth="1"/>
    <col min="3" max="3" width="44.140625" style="127" bestFit="1" customWidth="1"/>
    <col min="4" max="4" width="25.42578125" style="128" bestFit="1" customWidth="1"/>
    <col min="5" max="5" width="23.28515625" style="127" bestFit="1" customWidth="1"/>
    <col min="6" max="6" width="45.28515625" style="127" bestFit="1" customWidth="1"/>
    <col min="7" max="7" width="16.28515625" style="127" customWidth="1"/>
    <col min="8" max="8" width="13.85546875" style="127" bestFit="1" customWidth="1"/>
    <col min="9" max="9" width="36" style="126" customWidth="1"/>
    <col min="10" max="10" width="16.28515625" style="126" bestFit="1" customWidth="1"/>
    <col min="11" max="11" width="3" style="126" bestFit="1" customWidth="1"/>
    <col min="12" max="16384" width="9.140625" style="126"/>
  </cols>
  <sheetData>
    <row r="2" spans="3:10" ht="21">
      <c r="C2" s="237" t="s">
        <v>559</v>
      </c>
      <c r="D2" s="238"/>
      <c r="E2" s="238"/>
      <c r="F2" s="238"/>
      <c r="G2" s="238"/>
      <c r="H2" s="238"/>
      <c r="I2" s="238"/>
      <c r="J2" s="239"/>
    </row>
    <row r="3" spans="3:10">
      <c r="C3" s="177"/>
      <c r="D3" s="158"/>
      <c r="E3" s="158" t="s">
        <v>585</v>
      </c>
      <c r="F3" s="158"/>
      <c r="G3" s="158"/>
      <c r="H3" s="158"/>
      <c r="I3" s="158"/>
      <c r="J3" s="159"/>
    </row>
    <row r="4" spans="3:10">
      <c r="C4" s="156"/>
      <c r="D4" s="157"/>
      <c r="E4" s="158"/>
      <c r="F4" s="158"/>
      <c r="G4" s="158"/>
      <c r="H4" s="158"/>
      <c r="I4" s="158"/>
      <c r="J4" s="159"/>
    </row>
    <row r="5" spans="3:10">
      <c r="C5" s="156"/>
      <c r="D5" s="157"/>
      <c r="E5" s="158"/>
      <c r="F5" s="158"/>
      <c r="G5" s="158"/>
      <c r="H5" s="158"/>
      <c r="I5" s="158"/>
      <c r="J5" s="159"/>
    </row>
    <row r="6" spans="3:10">
      <c r="C6" s="156"/>
      <c r="D6" s="157"/>
      <c r="E6" s="158"/>
      <c r="F6" s="158"/>
      <c r="G6" s="158"/>
      <c r="H6" s="158"/>
      <c r="I6" s="158"/>
      <c r="J6" s="159"/>
    </row>
    <row r="7" spans="3:10">
      <c r="C7" s="156"/>
      <c r="D7" s="157"/>
      <c r="E7" s="158"/>
      <c r="F7" s="158"/>
      <c r="G7" s="158"/>
      <c r="H7" s="158"/>
      <c r="I7" s="158"/>
      <c r="J7" s="159"/>
    </row>
    <row r="8" spans="3:10">
      <c r="C8" s="156"/>
      <c r="D8" s="157"/>
      <c r="E8" s="158"/>
      <c r="F8" s="158"/>
      <c r="G8" s="158"/>
      <c r="H8" s="158"/>
      <c r="I8" s="158"/>
      <c r="J8" s="159"/>
    </row>
    <row r="9" spans="3:10">
      <c r="C9" s="160"/>
      <c r="D9" s="161"/>
      <c r="E9" s="162"/>
      <c r="F9" s="162"/>
      <c r="G9" s="162"/>
      <c r="H9" s="162"/>
      <c r="I9" s="162"/>
      <c r="J9" s="163"/>
    </row>
    <row r="11" spans="3:10" ht="15.75">
      <c r="C11" s="166" t="s">
        <v>120</v>
      </c>
      <c r="D11" s="164"/>
      <c r="E11" s="165"/>
      <c r="F11" s="165"/>
      <c r="G11" s="165"/>
      <c r="H11" s="165"/>
      <c r="I11" s="165"/>
      <c r="J11" s="165"/>
    </row>
    <row r="12" spans="3:10" ht="15.75" thickBot="1">
      <c r="C12" s="140" t="s">
        <v>546</v>
      </c>
      <c r="D12" s="130"/>
      <c r="E12" s="126"/>
      <c r="F12" s="126"/>
      <c r="G12" s="126"/>
      <c r="H12" s="126"/>
    </row>
    <row r="13" spans="3:10" ht="15.75" thickBot="1">
      <c r="C13" s="127" t="s">
        <v>104</v>
      </c>
      <c r="D13" s="245"/>
      <c r="E13" s="246"/>
      <c r="F13" s="246"/>
      <c r="G13" s="246"/>
      <c r="H13" s="246"/>
      <c r="I13" s="246"/>
      <c r="J13" s="247"/>
    </row>
    <row r="14" spans="3:10" ht="15.75" thickBot="1">
      <c r="C14" s="127" t="s">
        <v>105</v>
      </c>
      <c r="D14" s="245"/>
      <c r="E14" s="246"/>
      <c r="F14" s="246"/>
      <c r="G14" s="246"/>
      <c r="H14" s="246"/>
      <c r="I14" s="246"/>
      <c r="J14" s="247"/>
    </row>
    <row r="15" spans="3:10" ht="15.75" thickBot="1">
      <c r="C15" s="127" t="s">
        <v>172</v>
      </c>
      <c r="D15" s="245"/>
      <c r="E15" s="246"/>
      <c r="F15" s="246"/>
      <c r="G15" s="246"/>
      <c r="H15" s="246"/>
      <c r="I15" s="246"/>
      <c r="J15" s="247"/>
    </row>
    <row r="16" spans="3:10">
      <c r="I16" s="127"/>
      <c r="J16" s="127"/>
    </row>
    <row r="17" spans="3:10" ht="16.5" thickBot="1">
      <c r="C17" s="166" t="s">
        <v>547</v>
      </c>
      <c r="D17" s="164"/>
      <c r="E17" s="165"/>
      <c r="F17" s="165"/>
      <c r="G17" s="165"/>
      <c r="H17" s="165"/>
      <c r="I17" s="165"/>
      <c r="J17" s="165"/>
    </row>
    <row r="18" spans="3:10" ht="15.75" thickBot="1">
      <c r="C18" s="126" t="s">
        <v>171</v>
      </c>
      <c r="D18" s="124">
        <f>'ENTRADA DE DATOS'!D18</f>
        <v>0</v>
      </c>
      <c r="I18" s="127"/>
      <c r="J18" s="127"/>
    </row>
    <row r="19" spans="3:10" ht="15.75" thickBot="1">
      <c r="C19" s="130" t="s">
        <v>440</v>
      </c>
      <c r="D19" s="124">
        <f>'ENTRADA DE DATOS'!D19</f>
        <v>0</v>
      </c>
      <c r="E19" s="126"/>
      <c r="F19" s="126"/>
      <c r="G19" s="126"/>
      <c r="H19" s="126"/>
    </row>
    <row r="20" spans="3:10" ht="15.75" thickBot="1">
      <c r="C20" s="130" t="s">
        <v>581</v>
      </c>
      <c r="D20" s="124">
        <f>'ENTRADA DE DATOS'!D20</f>
        <v>0</v>
      </c>
      <c r="E20" s="126"/>
      <c r="F20" s="126"/>
      <c r="G20" s="126"/>
      <c r="H20" s="126"/>
    </row>
    <row r="21" spans="3:10">
      <c r="C21" s="130"/>
      <c r="D21" s="126"/>
      <c r="E21" s="126"/>
      <c r="F21" s="126"/>
      <c r="G21" s="126"/>
      <c r="H21" s="126"/>
    </row>
    <row r="22" spans="3:10" ht="30.75" thickBot="1">
      <c r="C22" s="131" t="s">
        <v>421</v>
      </c>
      <c r="D22" s="126"/>
      <c r="E22" s="126"/>
      <c r="F22" s="131" t="s">
        <v>422</v>
      </c>
      <c r="G22" s="126"/>
      <c r="H22" s="126"/>
    </row>
    <row r="23" spans="3:10" ht="15.75" thickBot="1">
      <c r="C23" s="127" t="s">
        <v>419</v>
      </c>
      <c r="D23" s="124">
        <f>'ENTRADA DE DATOS'!D23</f>
        <v>0</v>
      </c>
      <c r="F23" s="127" t="s">
        <v>420</v>
      </c>
      <c r="G23" s="124">
        <f>'ENTRADA DE DATOS'!G23</f>
        <v>0</v>
      </c>
      <c r="I23" s="127"/>
      <c r="J23" s="127"/>
    </row>
    <row r="24" spans="3:10" ht="15.75" thickBot="1">
      <c r="C24" s="127" t="s">
        <v>550</v>
      </c>
      <c r="D24" s="124">
        <f>'ENTRADA DE DATOS'!D24</f>
        <v>0</v>
      </c>
      <c r="F24" s="127" t="s">
        <v>582</v>
      </c>
      <c r="G24" s="124">
        <f>'ENTRADA DE DATOS'!G24</f>
        <v>0</v>
      </c>
      <c r="I24" s="127"/>
      <c r="J24" s="127"/>
    </row>
    <row r="25" spans="3:10" ht="15.75" thickBot="1">
      <c r="C25" s="127" t="s">
        <v>549</v>
      </c>
      <c r="D25" s="124">
        <f>'ENTRADA DE DATOS'!D25</f>
        <v>0</v>
      </c>
      <c r="F25" s="127" t="s">
        <v>583</v>
      </c>
      <c r="G25" s="124">
        <f>'ENTRADA DE DATOS'!G25</f>
        <v>0</v>
      </c>
      <c r="I25" s="127"/>
      <c r="J25" s="127"/>
    </row>
    <row r="26" spans="3:10" ht="15.75" thickBot="1">
      <c r="C26" s="127" t="s">
        <v>551</v>
      </c>
      <c r="D26" s="124">
        <f>'ENTRADA DE DATOS'!D26</f>
        <v>0</v>
      </c>
      <c r="F26" s="127" t="s">
        <v>424</v>
      </c>
      <c r="G26" s="124">
        <f>'ENTRADA DE DATOS'!G26</f>
        <v>0</v>
      </c>
      <c r="I26" s="127"/>
      <c r="J26" s="127"/>
    </row>
    <row r="27" spans="3:10" ht="15.75" thickBot="1">
      <c r="C27" s="127" t="s">
        <v>552</v>
      </c>
      <c r="D27" s="124">
        <f>'ENTRADA DE DATOS'!D27</f>
        <v>0</v>
      </c>
      <c r="F27" s="127" t="s">
        <v>425</v>
      </c>
      <c r="G27" s="124">
        <f>'ENTRADA DE DATOS'!G27</f>
        <v>0</v>
      </c>
      <c r="I27" s="127"/>
      <c r="J27" s="127"/>
    </row>
    <row r="28" spans="3:10" ht="15.75" thickBot="1">
      <c r="C28" s="127" t="s">
        <v>553</v>
      </c>
      <c r="D28" s="124">
        <f>'ENTRADA DE DATOS'!D28</f>
        <v>0</v>
      </c>
      <c r="F28" s="127" t="s">
        <v>426</v>
      </c>
      <c r="G28" s="124">
        <f>'ENTRADA DE DATOS'!G28</f>
        <v>0</v>
      </c>
      <c r="I28" s="127"/>
      <c r="J28" s="127"/>
    </row>
    <row r="29" spans="3:10" ht="15.75" thickBot="1">
      <c r="C29" s="127" t="s">
        <v>554</v>
      </c>
      <c r="D29" s="124">
        <f>'ENTRADA DE DATOS'!D29</f>
        <v>0</v>
      </c>
      <c r="F29" s="127" t="s">
        <v>427</v>
      </c>
      <c r="G29" s="124">
        <f>'ENTRADA DE DATOS'!G29</f>
        <v>0</v>
      </c>
      <c r="I29" s="127"/>
      <c r="J29" s="127"/>
    </row>
    <row r="30" spans="3:10" ht="15.75" thickBot="1">
      <c r="C30" s="127" t="s">
        <v>555</v>
      </c>
      <c r="D30" s="124">
        <f>'ENTRADA DE DATOS'!D30</f>
        <v>0</v>
      </c>
      <c r="F30" s="127" t="s">
        <v>428</v>
      </c>
      <c r="G30" s="124">
        <f>'ENTRADA DE DATOS'!G30</f>
        <v>0</v>
      </c>
      <c r="I30" s="127"/>
      <c r="J30" s="127"/>
    </row>
    <row r="31" spans="3:10" ht="15.75" thickBot="1">
      <c r="C31" s="127" t="s">
        <v>556</v>
      </c>
      <c r="D31" s="124">
        <f>'ENTRADA DE DATOS'!D31</f>
        <v>0</v>
      </c>
      <c r="F31" s="127" t="s">
        <v>429</v>
      </c>
      <c r="G31" s="124">
        <f>'ENTRADA DE DATOS'!G31</f>
        <v>0</v>
      </c>
      <c r="I31" s="127"/>
      <c r="J31" s="127"/>
    </row>
    <row r="32" spans="3:10" ht="15.75" thickBot="1">
      <c r="C32" s="127" t="s">
        <v>557</v>
      </c>
      <c r="D32" s="124">
        <f>'ENTRADA DE DATOS'!D32</f>
        <v>0</v>
      </c>
      <c r="F32" s="127" t="s">
        <v>430</v>
      </c>
      <c r="G32" s="124">
        <f>'ENTRADA DE DATOS'!G32</f>
        <v>0</v>
      </c>
      <c r="I32" s="127"/>
      <c r="J32" s="127"/>
    </row>
    <row r="33" spans="3:10" ht="15.75" thickBot="1">
      <c r="C33" s="126" t="s">
        <v>558</v>
      </c>
      <c r="D33" s="124">
        <f>'ENTRADA DE DATOS'!D33</f>
        <v>0</v>
      </c>
      <c r="F33" s="127" t="s">
        <v>431</v>
      </c>
      <c r="G33" s="124">
        <f>'ENTRADA DE DATOS'!G33</f>
        <v>0</v>
      </c>
      <c r="I33" s="127"/>
      <c r="J33" s="127"/>
    </row>
    <row r="34" spans="3:10" ht="15.75" thickBot="1">
      <c r="C34" s="127" t="s">
        <v>432</v>
      </c>
      <c r="D34" s="124">
        <f>'ENTRADA DE DATOS'!D34</f>
        <v>0</v>
      </c>
      <c r="F34" s="127" t="s">
        <v>432</v>
      </c>
      <c r="G34" s="124">
        <f>'ENTRADA DE DATOS'!G34</f>
        <v>0</v>
      </c>
      <c r="I34" s="127"/>
      <c r="J34" s="127"/>
    </row>
    <row r="35" spans="3:10">
      <c r="C35" s="132"/>
      <c r="I35" s="127"/>
      <c r="J35" s="127"/>
    </row>
    <row r="36" spans="3:10" ht="16.5" thickBot="1">
      <c r="C36" s="166" t="s">
        <v>106</v>
      </c>
      <c r="D36" s="164"/>
      <c r="E36" s="165"/>
      <c r="F36" s="165"/>
      <c r="G36" s="165"/>
      <c r="H36" s="165"/>
      <c r="I36" s="165"/>
      <c r="J36" s="165"/>
    </row>
    <row r="37" spans="3:10" ht="15.75" thickBot="1">
      <c r="C37" s="133" t="s">
        <v>446</v>
      </c>
      <c r="D37" s="134" t="s">
        <v>8</v>
      </c>
      <c r="I37" s="127"/>
      <c r="J37" s="127"/>
    </row>
    <row r="38" spans="3:10" s="137" customFormat="1">
      <c r="C38" s="135"/>
      <c r="D38" s="136"/>
      <c r="E38" s="135"/>
      <c r="F38" s="135"/>
      <c r="G38" s="135"/>
      <c r="H38" s="135"/>
      <c r="I38" s="135"/>
      <c r="J38" s="135"/>
    </row>
    <row r="39" spans="3:10" ht="16.5" thickBot="1">
      <c r="C39" s="166" t="s">
        <v>173</v>
      </c>
      <c r="D39" s="164"/>
      <c r="E39" s="165"/>
      <c r="F39" s="165"/>
      <c r="G39" s="165"/>
      <c r="H39" s="165"/>
      <c r="I39" s="165"/>
      <c r="J39" s="165"/>
    </row>
    <row r="40" spans="3:10" ht="15.75" thickBot="1">
      <c r="C40" s="126" t="s">
        <v>123</v>
      </c>
      <c r="D40" s="129" t="s">
        <v>543</v>
      </c>
      <c r="E40" s="126"/>
      <c r="F40" s="126"/>
      <c r="G40" s="126"/>
      <c r="H40" s="126"/>
    </row>
    <row r="41" spans="3:10" ht="18" thickBot="1">
      <c r="C41" s="137" t="s">
        <v>166</v>
      </c>
      <c r="D41" s="124">
        <f>'ENTRADA DE DATOS'!D41+'ENTRADA DE DATOS'!D44+'ENTRADA DE DATOS'!D47+'ENTRADA DE DATOS'!D50+'ENTRADA DE DATOS'!D53+'ENTRADA DE DATOS'!D55</f>
        <v>0</v>
      </c>
      <c r="E41" s="126"/>
      <c r="F41" s="126"/>
      <c r="G41" s="126"/>
      <c r="H41" s="126"/>
    </row>
    <row r="42" spans="3:10" ht="15.75" thickBot="1">
      <c r="C42" s="137"/>
      <c r="D42" s="130"/>
      <c r="E42" s="126"/>
      <c r="F42" s="126"/>
      <c r="G42" s="126"/>
      <c r="H42" s="126"/>
    </row>
    <row r="43" spans="3:10" ht="15.75" thickBot="1">
      <c r="C43" s="126" t="s">
        <v>124</v>
      </c>
      <c r="D43" s="129"/>
      <c r="E43" s="126"/>
      <c r="F43" s="126"/>
      <c r="G43" s="126"/>
      <c r="H43" s="126"/>
    </row>
    <row r="44" spans="3:10" ht="18" thickBot="1">
      <c r="C44" s="137" t="s">
        <v>167</v>
      </c>
      <c r="D44" s="129"/>
      <c r="E44" s="126"/>
      <c r="F44" s="126"/>
      <c r="G44" s="126"/>
      <c r="H44" s="126"/>
    </row>
    <row r="45" spans="3:10" ht="15.75" thickBot="1">
      <c r="C45" s="137"/>
      <c r="D45" s="138"/>
      <c r="E45" s="126"/>
      <c r="F45" s="126"/>
      <c r="G45" s="126"/>
      <c r="H45" s="126"/>
    </row>
    <row r="46" spans="3:10" ht="15.75" thickBot="1">
      <c r="C46" s="126" t="s">
        <v>125</v>
      </c>
      <c r="D46" s="129"/>
      <c r="E46" s="126"/>
      <c r="F46" s="126"/>
      <c r="G46" s="126"/>
      <c r="H46" s="126"/>
    </row>
    <row r="47" spans="3:10" ht="18" thickBot="1">
      <c r="C47" s="137" t="s">
        <v>168</v>
      </c>
      <c r="D47" s="129"/>
      <c r="E47" s="126"/>
      <c r="F47" s="126"/>
      <c r="G47" s="126"/>
      <c r="H47" s="126"/>
    </row>
    <row r="48" spans="3:10" ht="15.75" thickBot="1">
      <c r="C48" s="137"/>
      <c r="D48" s="138"/>
      <c r="E48" s="126"/>
      <c r="F48" s="126"/>
      <c r="G48" s="126"/>
      <c r="H48" s="126"/>
    </row>
    <row r="49" spans="3:10" ht="15.75" thickBot="1">
      <c r="C49" s="126" t="s">
        <v>157</v>
      </c>
      <c r="D49" s="129"/>
      <c r="E49" s="126"/>
      <c r="F49" s="126"/>
      <c r="G49" s="126"/>
      <c r="H49" s="126"/>
    </row>
    <row r="50" spans="3:10" ht="18" thickBot="1">
      <c r="C50" s="137" t="s">
        <v>170</v>
      </c>
      <c r="D50" s="129"/>
      <c r="E50" s="126"/>
      <c r="F50" s="126"/>
      <c r="G50" s="126"/>
      <c r="H50" s="126"/>
    </row>
    <row r="51" spans="3:10" ht="15.75" thickBot="1">
      <c r="C51" s="137"/>
      <c r="D51" s="138"/>
      <c r="E51" s="126"/>
      <c r="F51" s="126"/>
      <c r="G51" s="126"/>
      <c r="H51" s="126"/>
    </row>
    <row r="52" spans="3:10" ht="15.75" thickBot="1">
      <c r="C52" s="126" t="s">
        <v>158</v>
      </c>
      <c r="D52" s="129"/>
      <c r="E52" s="126"/>
      <c r="F52" s="126"/>
      <c r="G52" s="126"/>
      <c r="H52" s="126"/>
    </row>
    <row r="53" spans="3:10" ht="18" thickBot="1">
      <c r="C53" s="137" t="s">
        <v>169</v>
      </c>
      <c r="D53" s="129"/>
      <c r="E53" s="126"/>
      <c r="F53" s="126"/>
      <c r="G53" s="126"/>
      <c r="H53" s="126"/>
    </row>
    <row r="54" spans="3:10" ht="15.75" thickBot="1">
      <c r="C54" s="137"/>
      <c r="D54" s="138"/>
      <c r="E54" s="126"/>
      <c r="F54" s="126"/>
      <c r="G54" s="126"/>
      <c r="H54" s="126"/>
    </row>
    <row r="55" spans="3:10" ht="15.75" thickBot="1">
      <c r="C55" s="126" t="s">
        <v>540</v>
      </c>
      <c r="D55" s="129"/>
      <c r="E55" s="126"/>
      <c r="F55" s="126"/>
      <c r="G55" s="126"/>
      <c r="H55" s="126"/>
    </row>
    <row r="56" spans="3:10" ht="18" thickBot="1">
      <c r="C56" s="137" t="s">
        <v>541</v>
      </c>
      <c r="D56" s="129"/>
      <c r="E56" s="126"/>
      <c r="F56" s="126"/>
      <c r="G56" s="126"/>
      <c r="H56" s="126"/>
    </row>
    <row r="57" spans="3:10">
      <c r="C57" s="137"/>
      <c r="D57" s="138"/>
      <c r="E57" s="126"/>
      <c r="F57" s="126"/>
      <c r="G57" s="126"/>
      <c r="H57" s="126"/>
    </row>
    <row r="58" spans="3:10" ht="16.5" thickBot="1">
      <c r="C58" s="167" t="s">
        <v>575</v>
      </c>
      <c r="D58" s="164"/>
      <c r="E58" s="165"/>
      <c r="F58" s="165"/>
      <c r="G58" s="165"/>
      <c r="H58" s="165"/>
      <c r="I58" s="165"/>
      <c r="J58" s="165"/>
    </row>
    <row r="59" spans="3:10" ht="15.75" thickBot="1">
      <c r="C59" s="127" t="s">
        <v>128</v>
      </c>
      <c r="D59" s="129" t="s">
        <v>117</v>
      </c>
    </row>
    <row r="60" spans="3:10" ht="15.75" thickBot="1">
      <c r="C60" s="127" t="s">
        <v>416</v>
      </c>
      <c r="D60" s="139">
        <f>'ENTRADA DE DATOS'!D60+'ENTRADA DE DATOS'!D63+'ENTRADA DE DATOS'!D66</f>
        <v>0</v>
      </c>
    </row>
    <row r="61" spans="3:10" ht="15.75" thickBot="1">
      <c r="D61" s="136"/>
    </row>
    <row r="62" spans="3:10" ht="15.75" thickBot="1">
      <c r="C62" s="127" t="s">
        <v>128</v>
      </c>
      <c r="D62" s="129"/>
    </row>
    <row r="63" spans="3:10" ht="15.75" thickBot="1">
      <c r="C63" s="127" t="s">
        <v>417</v>
      </c>
      <c r="D63" s="139"/>
    </row>
    <row r="64" spans="3:10" ht="15.75" thickBot="1">
      <c r="D64" s="136"/>
    </row>
    <row r="65" spans="3:10" ht="15.75" thickBot="1">
      <c r="C65" s="127" t="s">
        <v>128</v>
      </c>
      <c r="D65" s="129"/>
    </row>
    <row r="66" spans="3:10" ht="15.75" thickBot="1">
      <c r="C66" s="127" t="s">
        <v>418</v>
      </c>
      <c r="D66" s="139"/>
    </row>
    <row r="67" spans="3:10">
      <c r="D67" s="136"/>
    </row>
    <row r="68" spans="3:10" ht="15.75">
      <c r="C68" s="167" t="s">
        <v>433</v>
      </c>
      <c r="D68" s="164"/>
      <c r="E68" s="165"/>
      <c r="F68" s="165"/>
      <c r="G68" s="165"/>
      <c r="H68" s="165"/>
      <c r="I68" s="165"/>
      <c r="J68" s="165"/>
    </row>
    <row r="69" spans="3:10" ht="30.75" thickBot="1">
      <c r="C69" s="179" t="s">
        <v>460</v>
      </c>
      <c r="D69" s="130"/>
      <c r="E69" s="126"/>
      <c r="F69" s="180" t="s">
        <v>461</v>
      </c>
      <c r="G69" s="126"/>
      <c r="H69" s="126"/>
      <c r="I69" s="178" t="s">
        <v>584</v>
      </c>
    </row>
    <row r="70" spans="3:10" ht="15.75" thickBot="1">
      <c r="C70" s="127" t="s">
        <v>128</v>
      </c>
      <c r="D70" s="134" t="s">
        <v>537</v>
      </c>
      <c r="F70" s="127" t="s">
        <v>128</v>
      </c>
      <c r="G70" s="134" t="s">
        <v>539</v>
      </c>
      <c r="I70" s="127" t="s">
        <v>128</v>
      </c>
      <c r="J70" s="134" t="s">
        <v>537</v>
      </c>
    </row>
    <row r="71" spans="3:10" ht="15.75" thickBot="1">
      <c r="C71" s="127" t="s">
        <v>437</v>
      </c>
      <c r="D71" s="139">
        <f>'ENTRADA DE DATOS'!D71+'ENTRADA DE DATOS'!D74+'ENTRADA DE DATOS'!D77</f>
        <v>0</v>
      </c>
      <c r="F71" s="127" t="s">
        <v>437</v>
      </c>
      <c r="G71" s="139">
        <f>'ENTRADA DE DATOS'!G71+'ENTRADA DE DATOS'!G74+'ENTRADA DE DATOS'!G77+'ENTRADA DE DATOS'!G80+'ENTRADA DE DATOS'!G83</f>
        <v>0</v>
      </c>
      <c r="I71" s="127" t="s">
        <v>437</v>
      </c>
      <c r="J71" s="139">
        <f>'ENTRADA DE DATOS'!J71+'ENTRADA DE DATOS'!J74+'ENTRADA DE DATOS'!J77+'ENTRADA DE DATOS'!J80</f>
        <v>0</v>
      </c>
    </row>
    <row r="72" spans="3:10" ht="15.75" thickBot="1">
      <c r="D72" s="136"/>
      <c r="G72" s="136"/>
      <c r="I72" s="127"/>
      <c r="J72" s="136"/>
    </row>
    <row r="73" spans="3:10" ht="15.75" thickBot="1">
      <c r="C73" s="127" t="s">
        <v>128</v>
      </c>
      <c r="D73" s="134"/>
      <c r="F73" s="127" t="s">
        <v>128</v>
      </c>
      <c r="G73" s="134"/>
      <c r="I73" s="127" t="s">
        <v>128</v>
      </c>
      <c r="J73" s="134"/>
    </row>
    <row r="74" spans="3:10" ht="15.75" thickBot="1">
      <c r="C74" s="127" t="s">
        <v>438</v>
      </c>
      <c r="D74" s="139"/>
      <c r="F74" s="127" t="s">
        <v>438</v>
      </c>
      <c r="G74" s="139"/>
      <c r="I74" s="127" t="s">
        <v>438</v>
      </c>
      <c r="J74" s="139"/>
    </row>
    <row r="75" spans="3:10" ht="15.75" thickBot="1">
      <c r="D75" s="136"/>
      <c r="G75" s="136"/>
      <c r="I75" s="127"/>
      <c r="J75" s="136"/>
    </row>
    <row r="76" spans="3:10" ht="15.75" thickBot="1">
      <c r="C76" s="127" t="s">
        <v>128</v>
      </c>
      <c r="D76" s="134"/>
      <c r="F76" s="127" t="s">
        <v>128</v>
      </c>
      <c r="G76" s="134"/>
      <c r="I76" s="127" t="s">
        <v>128</v>
      </c>
      <c r="J76" s="134"/>
    </row>
    <row r="77" spans="3:10" ht="15.75" thickBot="1">
      <c r="C77" s="127" t="s">
        <v>439</v>
      </c>
      <c r="D77" s="139"/>
      <c r="F77" s="127" t="s">
        <v>439</v>
      </c>
      <c r="G77" s="139"/>
      <c r="I77" s="127" t="s">
        <v>439</v>
      </c>
      <c r="J77" s="139"/>
    </row>
    <row r="78" spans="3:10" ht="15.75" thickBot="1">
      <c r="D78" s="136"/>
      <c r="G78" s="136"/>
      <c r="I78" s="127"/>
      <c r="J78" s="136"/>
    </row>
    <row r="79" spans="3:10" ht="15.75" thickBot="1">
      <c r="D79" s="136"/>
      <c r="F79" s="127" t="s">
        <v>128</v>
      </c>
      <c r="G79" s="134"/>
      <c r="I79" s="127" t="s">
        <v>128</v>
      </c>
      <c r="J79" s="134"/>
    </row>
    <row r="80" spans="3:10" ht="15.75" thickBot="1">
      <c r="D80" s="136"/>
      <c r="F80" s="127" t="s">
        <v>462</v>
      </c>
      <c r="G80" s="139"/>
      <c r="I80" s="127" t="s">
        <v>462</v>
      </c>
      <c r="J80" s="139"/>
    </row>
    <row r="81" spans="3:10" ht="15.75" thickBot="1">
      <c r="D81" s="136"/>
      <c r="G81" s="136"/>
      <c r="I81" s="127"/>
      <c r="J81" s="136"/>
    </row>
    <row r="82" spans="3:10" ht="15.75" thickBot="1">
      <c r="D82" s="136"/>
      <c r="F82" s="127" t="s">
        <v>128</v>
      </c>
      <c r="G82" s="134"/>
      <c r="I82" s="127"/>
      <c r="J82" s="136"/>
    </row>
    <row r="83" spans="3:10" ht="15.75" thickBot="1">
      <c r="D83" s="136"/>
      <c r="F83" s="127" t="s">
        <v>535</v>
      </c>
      <c r="G83" s="139"/>
      <c r="I83" s="127"/>
      <c r="J83" s="136"/>
    </row>
    <row r="84" spans="3:10">
      <c r="D84" s="136"/>
      <c r="G84" s="136"/>
      <c r="I84" s="127"/>
      <c r="J84" s="136"/>
    </row>
    <row r="85" spans="3:10" ht="16.5" thickBot="1">
      <c r="C85" s="166" t="s">
        <v>108</v>
      </c>
      <c r="D85" s="164"/>
      <c r="E85" s="165"/>
      <c r="F85" s="165"/>
      <c r="G85" s="165"/>
      <c r="H85" s="165"/>
      <c r="I85" s="165"/>
      <c r="J85" s="165"/>
    </row>
    <row r="86" spans="3:10" ht="15.75" thickBot="1">
      <c r="C86" s="173" t="s">
        <v>560</v>
      </c>
      <c r="D86" s="129" t="s">
        <v>33</v>
      </c>
      <c r="F86" s="137" t="s">
        <v>572</v>
      </c>
      <c r="G86" s="129" t="s">
        <v>49</v>
      </c>
      <c r="I86" s="127"/>
      <c r="J86" s="127"/>
    </row>
    <row r="87" spans="3:10" ht="18" thickBot="1">
      <c r="C87" s="174" t="s">
        <v>561</v>
      </c>
      <c r="D87" s="134">
        <f>'ENTRADA DE DATOS'!D87</f>
        <v>0</v>
      </c>
      <c r="F87" s="137" t="s">
        <v>566</v>
      </c>
      <c r="G87" s="134">
        <f>'ENTRADA DE DATOS'!G87</f>
        <v>0</v>
      </c>
      <c r="I87" s="127"/>
      <c r="J87" s="127"/>
    </row>
    <row r="88" spans="3:10" ht="15.75" thickBot="1">
      <c r="C88" s="174"/>
      <c r="D88" s="175"/>
      <c r="G88" s="135"/>
      <c r="I88" s="127"/>
      <c r="J88" s="127"/>
    </row>
    <row r="89" spans="3:10" ht="15.75" thickBot="1">
      <c r="C89" s="174" t="s">
        <v>562</v>
      </c>
      <c r="D89" s="129" t="s">
        <v>49</v>
      </c>
      <c r="F89" s="137" t="s">
        <v>161</v>
      </c>
      <c r="G89" s="129" t="s">
        <v>49</v>
      </c>
      <c r="I89" s="127"/>
      <c r="J89" s="127"/>
    </row>
    <row r="90" spans="3:10" ht="18" thickBot="1">
      <c r="C90" s="176" t="s">
        <v>563</v>
      </c>
      <c r="D90" s="134">
        <f>'ENTRADA DE DATOS'!D90</f>
        <v>0</v>
      </c>
      <c r="F90" s="137" t="s">
        <v>567</v>
      </c>
      <c r="G90" s="134">
        <f>'ENTRADA DE DATOS'!G90</f>
        <v>0</v>
      </c>
      <c r="I90" s="127"/>
      <c r="J90" s="127"/>
    </row>
    <row r="91" spans="3:10" ht="15.75" thickBot="1">
      <c r="D91" s="136"/>
      <c r="G91" s="135"/>
      <c r="I91" s="127"/>
      <c r="J91" s="127"/>
    </row>
    <row r="92" spans="3:10" ht="15.75" thickBot="1">
      <c r="C92" s="137" t="s">
        <v>544</v>
      </c>
      <c r="D92" s="129" t="s">
        <v>49</v>
      </c>
      <c r="F92" s="137" t="s">
        <v>162</v>
      </c>
      <c r="G92" s="129" t="s">
        <v>49</v>
      </c>
      <c r="I92" s="127"/>
      <c r="J92" s="127"/>
    </row>
    <row r="93" spans="3:10" ht="18" thickBot="1">
      <c r="C93" s="137" t="s">
        <v>165</v>
      </c>
      <c r="D93" s="134">
        <f>'ENTRADA DE DATOS'!D93</f>
        <v>0</v>
      </c>
      <c r="F93" s="137" t="s">
        <v>568</v>
      </c>
      <c r="G93" s="134">
        <f>'ENTRADA DE DATOS'!G93</f>
        <v>0</v>
      </c>
      <c r="I93" s="127"/>
      <c r="J93" s="127"/>
    </row>
    <row r="94" spans="3:10" ht="15.75" thickBot="1">
      <c r="D94" s="136"/>
      <c r="G94" s="135"/>
      <c r="I94" s="127"/>
      <c r="J94" s="127"/>
    </row>
    <row r="95" spans="3:10" ht="15.75" thickBot="1">
      <c r="C95" s="137" t="s">
        <v>159</v>
      </c>
      <c r="D95" s="129" t="s">
        <v>49</v>
      </c>
      <c r="F95" s="137" t="s">
        <v>163</v>
      </c>
      <c r="G95" s="129" t="s">
        <v>49</v>
      </c>
      <c r="I95" s="127"/>
      <c r="J95" s="127"/>
    </row>
    <row r="96" spans="3:10" ht="18" thickBot="1">
      <c r="C96" s="137" t="s">
        <v>564</v>
      </c>
      <c r="D96" s="134">
        <f>'ENTRADA DE DATOS'!D96</f>
        <v>0</v>
      </c>
      <c r="F96" s="137" t="s">
        <v>569</v>
      </c>
      <c r="G96" s="134">
        <f>'ENTRADA DE DATOS'!G96</f>
        <v>0</v>
      </c>
      <c r="I96" s="127"/>
      <c r="J96" s="127"/>
    </row>
    <row r="97" spans="3:10" ht="15.75" thickBot="1">
      <c r="D97" s="136"/>
      <c r="F97" s="137"/>
      <c r="G97" s="135"/>
      <c r="I97" s="127"/>
      <c r="J97" s="127"/>
    </row>
    <row r="98" spans="3:10" ht="15.75" thickBot="1">
      <c r="C98" s="137" t="s">
        <v>160</v>
      </c>
      <c r="D98" s="129" t="s">
        <v>49</v>
      </c>
      <c r="F98" s="137" t="s">
        <v>164</v>
      </c>
      <c r="G98" s="129" t="s">
        <v>49</v>
      </c>
      <c r="I98" s="127"/>
      <c r="J98" s="127"/>
    </row>
    <row r="99" spans="3:10" ht="18" thickBot="1">
      <c r="C99" s="137" t="s">
        <v>565</v>
      </c>
      <c r="D99" s="134">
        <f>'ENTRADA DE DATOS'!D99</f>
        <v>0</v>
      </c>
      <c r="F99" s="137" t="s">
        <v>570</v>
      </c>
      <c r="G99" s="134">
        <f>'ENTRADA DE DATOS'!G99</f>
        <v>0</v>
      </c>
      <c r="I99" s="127"/>
      <c r="J99" s="127"/>
    </row>
    <row r="100" spans="3:10">
      <c r="D100" s="136"/>
      <c r="I100" s="127"/>
      <c r="J100" s="127"/>
    </row>
    <row r="101" spans="3:10" ht="16.5" thickBot="1">
      <c r="C101" s="166" t="s">
        <v>109</v>
      </c>
      <c r="D101" s="164"/>
      <c r="E101" s="165"/>
      <c r="F101" s="165"/>
      <c r="G101" s="165"/>
      <c r="H101" s="165"/>
      <c r="I101" s="165"/>
      <c r="J101" s="165"/>
    </row>
    <row r="102" spans="3:10" ht="15.75" thickBot="1">
      <c r="C102" s="173" t="s">
        <v>590</v>
      </c>
      <c r="D102" s="129" t="s">
        <v>270</v>
      </c>
      <c r="I102" s="127"/>
      <c r="J102" s="127"/>
    </row>
    <row r="103" spans="3:10" ht="15.75" thickBot="1">
      <c r="C103" s="181" t="s">
        <v>589</v>
      </c>
      <c r="D103" s="139">
        <v>890</v>
      </c>
      <c r="I103" s="127"/>
      <c r="J103" s="127"/>
    </row>
    <row r="104" spans="3:10" ht="15.75" thickBot="1">
      <c r="C104" s="181"/>
      <c r="D104" s="175"/>
      <c r="I104" s="127"/>
      <c r="J104" s="127"/>
    </row>
    <row r="105" spans="3:10" ht="15.75" thickBot="1">
      <c r="C105" s="181" t="s">
        <v>591</v>
      </c>
      <c r="D105" s="129" t="s">
        <v>112</v>
      </c>
      <c r="I105" s="127"/>
      <c r="J105" s="127"/>
    </row>
    <row r="106" spans="3:10" ht="15.75" thickBot="1">
      <c r="C106" s="182" t="s">
        <v>592</v>
      </c>
      <c r="D106" s="139">
        <v>2217</v>
      </c>
      <c r="I106" s="127"/>
      <c r="J106" s="127"/>
    </row>
    <row r="107" spans="3:10" ht="15.75" thickBot="1">
      <c r="D107" s="136"/>
      <c r="I107" s="127"/>
      <c r="J107" s="127"/>
    </row>
    <row r="108" spans="3:10" ht="15.75" thickBot="1">
      <c r="C108" s="137" t="s">
        <v>545</v>
      </c>
      <c r="D108" s="129" t="s">
        <v>112</v>
      </c>
      <c r="I108" s="127"/>
      <c r="J108" s="127"/>
    </row>
    <row r="109" spans="3:10" ht="15.75" thickBot="1">
      <c r="C109" s="127" t="s">
        <v>126</v>
      </c>
      <c r="D109" s="134">
        <f>'ENTRADA DE DATOS'!D109</f>
        <v>0</v>
      </c>
      <c r="I109" s="127"/>
      <c r="J109" s="127"/>
    </row>
    <row r="110" spans="3:10" ht="15.75" thickBot="1">
      <c r="D110" s="136"/>
      <c r="I110" s="127"/>
      <c r="J110" s="127"/>
    </row>
    <row r="111" spans="3:10" ht="15.75" thickBot="1">
      <c r="C111" s="137" t="s">
        <v>174</v>
      </c>
      <c r="D111" s="129" t="s">
        <v>112</v>
      </c>
      <c r="I111" s="127"/>
      <c r="J111" s="127"/>
    </row>
    <row r="112" spans="3:10" ht="15.75" thickBot="1">
      <c r="C112" s="127" t="s">
        <v>176</v>
      </c>
      <c r="D112" s="134">
        <f>'ENTRADA DE DATOS'!D112</f>
        <v>0</v>
      </c>
      <c r="I112" s="127"/>
      <c r="J112" s="127"/>
    </row>
    <row r="113" spans="2:11" ht="15.75" thickBot="1">
      <c r="D113" s="136"/>
      <c r="I113" s="127"/>
      <c r="J113" s="127"/>
    </row>
    <row r="114" spans="2:11" ht="15.75" thickBot="1">
      <c r="C114" s="137" t="s">
        <v>175</v>
      </c>
      <c r="D114" s="129" t="s">
        <v>112</v>
      </c>
      <c r="I114" s="127"/>
      <c r="J114" s="127"/>
    </row>
    <row r="115" spans="2:11" ht="15.75" thickBot="1">
      <c r="C115" s="127" t="s">
        <v>177</v>
      </c>
      <c r="D115" s="134">
        <f>'ENTRADA DE DATOS'!D115</f>
        <v>0</v>
      </c>
      <c r="I115" s="127"/>
      <c r="J115" s="127"/>
    </row>
    <row r="116" spans="2:11" ht="15.75" thickBot="1">
      <c r="D116" s="136"/>
      <c r="I116" s="127"/>
      <c r="J116" s="127"/>
    </row>
    <row r="117" spans="2:11" ht="15.75">
      <c r="B117" s="137"/>
      <c r="C117" s="168" t="s">
        <v>110</v>
      </c>
      <c r="D117" s="187"/>
      <c r="E117" s="137"/>
      <c r="F117" s="137"/>
      <c r="G117" s="137"/>
      <c r="H117" s="137"/>
      <c r="I117" s="137"/>
      <c r="J117" s="137"/>
      <c r="K117" s="137"/>
    </row>
    <row r="118" spans="2:11" ht="27.75" customHeight="1">
      <c r="B118" s="137"/>
      <c r="C118" s="249" t="s">
        <v>571</v>
      </c>
      <c r="D118" s="250"/>
      <c r="E118" s="184"/>
      <c r="F118" s="184"/>
      <c r="G118" s="137"/>
      <c r="H118" s="137"/>
      <c r="I118" s="137"/>
      <c r="J118" s="137"/>
      <c r="K118" s="137"/>
    </row>
    <row r="119" spans="2:11">
      <c r="B119" s="137"/>
      <c r="C119" s="169"/>
      <c r="D119" s="172"/>
      <c r="E119" s="185"/>
      <c r="F119" s="185"/>
      <c r="G119" s="137"/>
      <c r="H119" s="137"/>
      <c r="I119" s="137"/>
      <c r="J119" s="137"/>
      <c r="K119" s="137"/>
    </row>
    <row r="120" spans="2:11">
      <c r="B120" s="137"/>
      <c r="C120" s="170"/>
      <c r="D120" s="188"/>
      <c r="E120" s="248"/>
      <c r="F120" s="248"/>
      <c r="G120" s="142"/>
      <c r="H120" s="142"/>
      <c r="I120" s="142"/>
      <c r="J120" s="142"/>
      <c r="K120" s="137"/>
    </row>
    <row r="121" spans="2:11" ht="42" customHeight="1">
      <c r="B121" s="137"/>
      <c r="C121" s="171"/>
      <c r="D121" s="145" t="s">
        <v>595</v>
      </c>
      <c r="E121" s="186"/>
      <c r="F121" s="186"/>
      <c r="H121" s="146"/>
      <c r="I121" s="146"/>
      <c r="J121" s="146"/>
      <c r="K121" s="137"/>
    </row>
    <row r="122" spans="2:11" ht="18.75">
      <c r="B122" s="137"/>
      <c r="C122" s="147" t="s">
        <v>447</v>
      </c>
      <c r="D122" s="189">
        <f>IF(D37=Tablas!C6,Tablas!D6,IF('ED ESTANDAR-VIV'!D37=Tablas!C8,Tablas!D8,IF('ED ESTANDAR-VIV'!D37=Tablas!C9,Tablas!D9,IF('ED ESTANDAR-VIV'!D37=Tablas!C10,Tablas!D10,0))))</f>
        <v>0</v>
      </c>
      <c r="E122" s="183"/>
      <c r="F122" s="183"/>
      <c r="G122" s="142"/>
      <c r="H122" s="142"/>
      <c r="I122" s="142"/>
      <c r="J122" s="142"/>
      <c r="K122" s="137"/>
    </row>
    <row r="123" spans="2:11" ht="18.75">
      <c r="B123" s="137"/>
      <c r="C123" s="147" t="s">
        <v>448</v>
      </c>
      <c r="D123" s="189" t="e">
        <f>(IF('ED ESTANDAR-VIV'!D40=Tablas!C29,Tablas!D29*D41,IF('ED ESTANDAR-VIV'!D40=Tablas!C30,Tablas!D30*D41,IF('ED ESTANDAR-VIV'!D40=Tablas!C31,Tablas!D31*D41,IF('ED ESTANDAR-VIV'!D40=Tablas!C32,Tablas!D32*D41,IF('ED ESTANDAR-VIV'!D40=Tablas!C33,Tablas!D33*D41,IF('ED ESTANDAR-VIV'!D40=Tablas!C34,Tablas!D34*D41,0))))))
+IF('ED ESTANDAR-VIV'!D43=Tablas!C29,Tablas!D29*D44,IF('ED ESTANDAR-VIV'!D43=Tablas!C30,Tablas!D30*D44,IF('ED ESTANDAR-VIV'!D43=Tablas!C31,Tablas!D31*D44,IF('ED ESTANDAR-VIV'!D43=Tablas!C32,Tablas!D32*D44,IF('ED ESTANDAR-VIV'!D43=Tablas!C33,Tablas!D33*D44,IF('ED ESTANDAR-VIV'!D43=Tablas!C34,Tablas!D34*D44,0))))))
+IF('ED ESTANDAR-VIV'!D46=Tablas!C29,Tablas!D29*D47,IF('ED ESTANDAR-VIV'!D46=Tablas!C30,Tablas!D30*D47,IF('ED ESTANDAR-VIV'!D46=Tablas!C31,Tablas!D31*D47,IF('ED ESTANDAR-VIV'!D46=Tablas!C32,Tablas!D32*D47,IF('ED ESTANDAR-VIV'!D46=Tablas!C33,Tablas!D33*D47,IF('ED ESTANDAR-VIV'!D46=Tablas!C34,Tablas!D34*D47,0))))))
+IF('ED ESTANDAR-VIV'!D49=Tablas!C29,Tablas!D29*D50,IF('ED ESTANDAR-VIV'!D49=Tablas!C30,Tablas!D30*D50,IF('ED ESTANDAR-VIV'!D49=Tablas!C31,Tablas!D31*D50,IF('ED ESTANDAR-VIV'!D49=Tablas!C32,Tablas!D32*D50,IF('ED ESTANDAR-VIV'!D49=Tablas!C33,Tablas!D33*D50,IF('ED ESTANDAR-VIV'!D49=Tablas!C34,Tablas!D34*D50,0))))))
+IF('ED ESTANDAR-VIV'!D52=Tablas!C29,Tablas!D29*D53,IF('ED ESTANDAR-VIV'!D52=Tablas!C30,Tablas!D30*D53,IF('ED ESTANDAR-VIV'!D52=Tablas!C31,Tablas!D31*D53,IF('ED ESTANDAR-VIV'!D52=Tablas!C32,Tablas!D32*D53,IF('ED ESTANDAR-VIV'!D52=Tablas!C33,Tablas!D33*D53,IF('ED ESTANDAR-VIV'!D52=Tablas!C34,Tablas!D34*D53,0))))))
+IF('ED ESTANDAR-VIV'!D55=Tablas!C29,Tablas!D29*D56,IF('ED ESTANDAR-VIV'!D55=Tablas!C30,Tablas!D30*D56,IF('ED ESTANDAR-VIV'!D55=Tablas!C31,Tablas!D31*D56,IF('ED ESTANDAR-VIV'!D55=Tablas!C32,Tablas!D32*D56,IF('ED ESTANDAR-VIV'!D55=Tablas!C33,Tablas!D33*D56,IF('ED ESTANDAR-VIV'!D55=Tablas!C34,Tablas!D34*D56,0)))))))/(IF(D23&gt;0,D34,G34))</f>
        <v>#DIV/0!</v>
      </c>
      <c r="E123" s="183"/>
      <c r="F123" s="183"/>
      <c r="G123" s="142"/>
      <c r="H123" s="142"/>
      <c r="I123" s="142"/>
      <c r="J123" s="142"/>
      <c r="K123" s="137"/>
    </row>
    <row r="124" spans="2:11" ht="18.75">
      <c r="B124" s="137"/>
      <c r="C124" s="147" t="s">
        <v>450</v>
      </c>
      <c r="D124" s="189" t="e">
        <f>(IF(D59=Tablas!C26,'ED ESTANDAR-VIV'!D60*Tablas!D26,IF(D59=Tablas!C27,'ED ESTANDAR-VIV'!D60*Tablas!D27,IF(D59=Tablas!C28,'ED ESTANDAR-VIV'!D60*Tablas!D28,0)))
+IF(D62=Tablas!C26,'ED ESTANDAR-VIV'!D63*Tablas!D26,IF(D62=Tablas!C27,'ED ESTANDAR-VIV'!D63*Tablas!D27,IF(D62=Tablas!C28,'ED ESTANDAR-VIV'!D63*Tablas!D28,0)))
+IF(D65=Tablas!C26,'ED ESTANDAR-VIV'!D66*Tablas!D26,IF(D65=Tablas!C27,'ED ESTANDAR-VIV'!D66*Tablas!D27,IF(D65=Tablas!C28,'ED ESTANDAR-VIV'!D66*Tablas!D28,0))))/(IF(D23&gt;0,D34,G34))</f>
        <v>#DIV/0!</v>
      </c>
      <c r="E124" s="183"/>
      <c r="F124" s="183"/>
      <c r="G124" s="142"/>
      <c r="H124" s="142"/>
      <c r="I124" s="142"/>
      <c r="J124" s="142"/>
      <c r="K124" s="137"/>
    </row>
    <row r="125" spans="2:11" ht="18.75">
      <c r="B125" s="137"/>
      <c r="C125" s="147" t="s">
        <v>452</v>
      </c>
      <c r="D125" s="189" t="e">
        <f>(IF(D70=Tablas!C36,Tablas!D36*D71,IF(D70=Tablas!C37,Tablas!D37*D71,IF(D70=Tablas!C38,Tablas!D38*D71,0)))
+IF(D73=Tablas!C36,Tablas!D36*D74,IF(D73=Tablas!C37,Tablas!D37*D74,IF(D73=Tablas!C38,Tablas!D38*D74,0)))
+IF(D76=Tablas!C36,Tablas!D36*D77,IF(D76=Tablas!C37,Tablas!D37*D77,IF(D76=Tablas!C38,Tablas!D38*D77,0)))
+IF(G70=Tablas!C39,Tablas!D39*G71,IF(G70=Tablas!C40,Tablas!D40*G71,IF(G70=Tablas!C41,Tablas!D41*G71,IF(G70=Tablas!C42,Tablas!D42*G71,IF(G70=Tablas!C43,Tablas!D43*G71,0)))))
+IF(G73=Tablas!C39,Tablas!D39*G74,IF(G73=Tablas!C40,Tablas!D40*G74,IF(G73=Tablas!C41,Tablas!D41*G74,IF(G73=Tablas!C42,Tablas!D42*G74,IF(G73=Tablas!C43,Tablas!D43*G74,0)))))
+IF(G76=Tablas!C39,Tablas!D39*G77,IF(G76=Tablas!C40,Tablas!D40*G77,IF(G76=Tablas!C41,Tablas!D41*G77,IF(G76=Tablas!C42,Tablas!D42*G77,IF(G76=Tablas!C43,Tablas!D43*G77,0)))))
+IF(G79=Tablas!C39,Tablas!D39*G80,IF(G79=Tablas!C40,Tablas!D40*G80,IF(G79=Tablas!C41,Tablas!D41*G80,IF(G79=Tablas!C42,Tablas!D42*G80,IF(G79=Tablas!C43,Tablas!D43*G80,0)))))
+IF(G82=Tablas!C39,Tablas!D39*G83,IF(G82=Tablas!C40,Tablas!D40*G83,IF(G82=Tablas!C41,Tablas!D41*G83,IF(G83=Tablas!C42,Tablas!D42*G80,IF(G83=Tablas!C43,Tablas!D43*G80,0)))))
+IF(J70=Tablas!C39,Tablas!D39*J71,IF(J70=Tablas!C40,Tablas!D40*J71,IF(J70=Tablas!C41,Tablas!D41*J71,IF(J70=Tablas!C42,Tablas!D42*J71,IF(J70=Tablas!C43,Tablas!D43*J71,0)))))
+IF(J73=Tablas!C39,Tablas!D39*J74,IF(J73=Tablas!C40,Tablas!D40*J74,IF(J73=Tablas!C41,Tablas!D41*J74,IF(J73=Tablas!C42,Tablas!D42*J74,IF(J73=Tablas!C43,Tablas!D43*J74,0)))))
+IF(J76=Tablas!C39,Tablas!D39*J77,IF(J76=Tablas!C40,Tablas!D40*J77,IF(J76=Tablas!C41,Tablas!D41*J77,IF(J76=Tablas!C42,Tablas!D42*J77,IF(J76=Tablas!C43,Tablas!D43*J77,0)))))
+IF(J79=Tablas!C39,Tablas!D39*J80,IF(J79=Tablas!C40,Tablas!D40*J80,IF(J79=Tablas!C41,Tablas!D41*J80,IF(J79=Tablas!C42,Tablas!D42*J80,IF(J79=Tablas!C43,Tablas!D43*J80,0))))))/(IF(D23&gt;0,D34,G34))</f>
        <v>#DIV/0!</v>
      </c>
      <c r="E125" s="183"/>
      <c r="F125" s="183"/>
      <c r="G125" s="142"/>
      <c r="H125" s="142"/>
      <c r="I125" s="142"/>
      <c r="J125" s="142"/>
      <c r="K125" s="137"/>
    </row>
    <row r="126" spans="2:11" ht="18.75">
      <c r="B126" s="137"/>
      <c r="C126" s="147" t="s">
        <v>449</v>
      </c>
      <c r="D126" s="189" t="e">
        <f>(IF(D86=Tablas!C11,Tablas!D11*'ED ESTANDAR-VIV'!D87,IF('ED ESTANDAR-VIV'!D86=Tablas!C12,Tablas!D12*'ED ESTANDAR-VIV'!D87,IF('ED ESTANDAR-VIV'!D86=Tablas!C13,Tablas!D13*'ED ESTANDAR-VIV'!D87,IF('ED ESTANDAR-VIV'!D86=Tablas!C14,Tablas!D14*'ED ESTANDAR-VIV'!D87,IF('ED ESTANDAR-VIV'!D86=Tablas!C15,Tablas!D15*'ED ESTANDAR-VIV'!D87,IF('ED ESTANDAR-VIV'!D86=Tablas!C16,Tablas!D16*'ED ESTANDAR-VIV'!D87,IF('ED ESTANDAR-VIV'!D86=Tablas!C17,Tablas!D17*'ED ESTANDAR-VIV'!D87,IF('ED ESTANDAR-VIV'!D86=Tablas!C18,Tablas!D18*'ED ESTANDAR-VIV'!D87,IF('ED ESTANDAR-VIV'!D86=Tablas!C19,Tablas!D19*'ED ESTANDAR-VIV'!D87,IF('ED ESTANDAR-VIV'!D86=Tablas!C20,Tablas!D20*'ED ESTANDAR-VIV'!D87,0))))))))))
+ IF(D89=Tablas!C11,Tablas!D11*'ED ESTANDAR-VIV'!D90,IF('ED ESTANDAR-VIV'!D89=Tablas!C12,Tablas!D12*'ED ESTANDAR-VIV'!D90,IF('ED ESTANDAR-VIV'!D89=Tablas!C13,Tablas!D13*'ED ESTANDAR-VIV'!D90,IF('ED ESTANDAR-VIV'!D89=Tablas!C14,Tablas!D14*'ED ESTANDAR-VIV'!D90,IF('ED ESTANDAR-VIV'!D89=Tablas!C15,Tablas!D15*'ED ESTANDAR-VIV'!D90,IF('ED ESTANDAR-VIV'!D89=Tablas!C16,Tablas!D16*'ED ESTANDAR-VIV'!D90,IF('ED ESTANDAR-VIV'!D89=Tablas!C17,Tablas!D17*'ED ESTANDAR-VIV'!D90,IF('ED ESTANDAR-VIV'!D89=Tablas!C18,Tablas!D18*'ED ESTANDAR-VIV'!D90,IF('ED ESTANDAR-VIV'!D89=Tablas!C19,Tablas!D19*'ED ESTANDAR-VIV'!D90,IF('ED ESTANDAR-VIV'!D89=Tablas!C20,Tablas!D20*'ED ESTANDAR-VIV'!D90,0))))))))))
+ IF(D92=Tablas!C11,Tablas!D11*'ED ESTANDAR-VIV'!D93,IF('ED ESTANDAR-VIV'!D92=Tablas!C12,Tablas!D12*'ED ESTANDAR-VIV'!D93,IF('ED ESTANDAR-VIV'!D92=Tablas!C13,Tablas!D13*'ED ESTANDAR-VIV'!D93,IF('ED ESTANDAR-VIV'!D92=Tablas!C14,Tablas!D14*'ED ESTANDAR-VIV'!D93,IF('ED ESTANDAR-VIV'!D92=Tablas!C15,Tablas!D15*'ED ESTANDAR-VIV'!D93,IF('ED ESTANDAR-VIV'!D92=Tablas!C16,Tablas!D16*'ED ESTANDAR-VIV'!D93,IF('ED ESTANDAR-VIV'!D92=Tablas!C17,Tablas!D17*'ED ESTANDAR-VIV'!D93,IF('ED ESTANDAR-VIV'!D92=Tablas!C18,Tablas!D18*'ED ESTANDAR-VIV'!D93,IF('ED ESTANDAR-VIV'!D92=Tablas!C19,Tablas!D19*'ED ESTANDAR-VIV'!D93,IF('ED ESTANDAR-VIV'!D92=Tablas!C20,Tablas!D20*'ED ESTANDAR-VIV'!D93,0))))))))))
+ IF(D95=Tablas!C11,Tablas!D11*'ED ESTANDAR-VIV'!D96,IF('ED ESTANDAR-VIV'!D95=Tablas!C12,Tablas!D12*'ED ESTANDAR-VIV'!D96,IF('ED ESTANDAR-VIV'!D95=Tablas!C13,Tablas!D13*'ED ESTANDAR-VIV'!D96,IF('ED ESTANDAR-VIV'!D95=Tablas!C14,Tablas!D14*'ED ESTANDAR-VIV'!D96,IF('ED ESTANDAR-VIV'!D95=Tablas!C15,Tablas!D15*'ED ESTANDAR-VIV'!D96,IF('ED ESTANDAR-VIV'!D95=Tablas!C16,Tablas!D16*'ED ESTANDAR-VIV'!D96,IF('ED ESTANDAR-VIV'!D95=Tablas!C17,Tablas!D17*'ED ESTANDAR-VIV'!D96,IF('ED ESTANDAR-VIV'!D95=Tablas!C18,Tablas!D18*'ED ESTANDAR-VIV'!D96,IF('ED ESTANDAR-VIV'!D95=Tablas!C19,Tablas!D19*'ED ESTANDAR-VIV'!D96,IF('ED ESTANDAR-VIV'!D95=Tablas!C20,Tablas!D20*'ED ESTANDAR-VIV'!D96,0))))))))))
+ IF(D98=Tablas!C11,Tablas!D11*'ED ESTANDAR-VIV'!D99,IF('ED ESTANDAR-VIV'!D98=Tablas!C12,Tablas!D12*'ED ESTANDAR-VIV'!D99,IF('ED ESTANDAR-VIV'!D98=Tablas!C13,Tablas!D13*'ED ESTANDAR-VIV'!D99,IF('ED ESTANDAR-VIV'!D98=Tablas!C14,Tablas!D14*'ED ESTANDAR-VIV'!D99,IF('ED ESTANDAR-VIV'!D98=Tablas!C15,Tablas!D15*'ED ESTANDAR-VIV'!D99,IF('ED ESTANDAR-VIV'!D98=Tablas!C16,Tablas!D16*'ED ESTANDAR-VIV'!D99,IF('ED ESTANDAR-VIV'!D98=Tablas!C17,Tablas!D17*'ED ESTANDAR-VIV'!D99,IF('ED ESTANDAR-VIV'!D98=Tablas!C18,Tablas!D18*'ED ESTANDAR-VIV'!D99,IF('ED ESTANDAR-VIV'!D98=Tablas!C19,Tablas!D19*'ED ESTANDAR-VIV'!D99,IF('ED ESTANDAR-VIV'!D98=Tablas!C20,Tablas!D20*'ED ESTANDAR-VIV'!D99,0))))))))))
+ IF(G86=Tablas!C11,Tablas!D11*'ED ESTANDAR-VIV'!G87,IF('ED ESTANDAR-VIV'!G86=Tablas!C12,Tablas!D12*'ED ESTANDAR-VIV'!G87,IF('ED ESTANDAR-VIV'!G86=Tablas!C13,Tablas!D13*'ED ESTANDAR-VIV'!G87,IF('ED ESTANDAR-VIV'!G86=Tablas!C14,Tablas!D14*'ED ESTANDAR-VIV'!G87,IF('ED ESTANDAR-VIV'!G86=Tablas!C15,Tablas!D15*'ED ESTANDAR-VIV'!G87,IF('ED ESTANDAR-VIV'!G86=Tablas!C16,Tablas!D16*'ED ESTANDAR-VIV'!G87,IF('ED ESTANDAR-VIV'!G86=Tablas!C17,Tablas!D17*'ED ESTANDAR-VIV'!G87,IF('ED ESTANDAR-VIV'!G86=Tablas!C18,Tablas!D18*'ED ESTANDAR-VIV'!G87,IF('ED ESTANDAR-VIV'!G86=Tablas!C19,Tablas!D19*'ED ESTANDAR-VIV'!G87,IF('ED ESTANDAR-VIV'!G86=Tablas!C20,Tablas!D20*'ED ESTANDAR-VIV'!G87,0))))))))))
+ IF(G89=Tablas!C11,Tablas!D11*'ED ESTANDAR-VIV'!G90,IF('ED ESTANDAR-VIV'!G89=Tablas!C12,Tablas!D12*'ED ESTANDAR-VIV'!G90,IF('ED ESTANDAR-VIV'!G89=Tablas!C13,Tablas!D13*'ED ESTANDAR-VIV'!G90,IF('ED ESTANDAR-VIV'!G89=Tablas!C14,Tablas!D14*'ED ESTANDAR-VIV'!G90,IF('ED ESTANDAR-VIV'!G89=Tablas!C15,Tablas!D15*'ED ESTANDAR-VIV'!G90,IF('ED ESTANDAR-VIV'!G89=Tablas!C16,Tablas!D16*'ED ESTANDAR-VIV'!G90,IF('ED ESTANDAR-VIV'!G89=Tablas!C17,Tablas!D17*'ED ESTANDAR-VIV'!G90,IF('ED ESTANDAR-VIV'!G89=Tablas!C18,Tablas!D18*'ED ESTANDAR-VIV'!G90,IF('ED ESTANDAR-VIV'!G89=Tablas!C19,Tablas!D19*'ED ESTANDAR-VIV'!G90,IF('ED ESTANDAR-VIV'!G89=Tablas!C20,Tablas!D20*'ED ESTANDAR-VIV'!G90,0))))))))))
+ IF(G92=Tablas!C11,Tablas!D11*'ED ESTANDAR-VIV'!G93,IF('ED ESTANDAR-VIV'!G92=Tablas!C12,Tablas!D12*'ED ESTANDAR-VIV'!G93,IF('ED ESTANDAR-VIV'!G92=Tablas!C13,Tablas!D13*'ED ESTANDAR-VIV'!G93,IF('ED ESTANDAR-VIV'!G92=Tablas!C14,Tablas!D14*'ED ESTANDAR-VIV'!G93,IF('ED ESTANDAR-VIV'!G92=Tablas!C15,Tablas!D15*'ED ESTANDAR-VIV'!G93,IF('ED ESTANDAR-VIV'!G92=Tablas!C16,Tablas!D16*'ED ESTANDAR-VIV'!G93,IF('ED ESTANDAR-VIV'!G92=Tablas!C17,Tablas!D17*'ED ESTANDAR-VIV'!G93,IF('ED ESTANDAR-VIV'!G92=Tablas!C18,Tablas!D18*'ED ESTANDAR-VIV'!G93,IF('ED ESTANDAR-VIV'!G92=Tablas!C19,Tablas!D19*'ED ESTANDAR-VIV'!G93,IF('ED ESTANDAR-VIV'!G92=Tablas!C20,Tablas!D20*'ED ESTANDAR-VIV'!G93,0))))))))))
+ IF(G95=Tablas!C11,Tablas!D11*'ED ESTANDAR-VIV'!G96,IF('ED ESTANDAR-VIV'!G95=Tablas!C12,Tablas!D12*'ED ESTANDAR-VIV'!G96,IF('ED ESTANDAR-VIV'!G95=Tablas!C13,Tablas!D13*'ED ESTANDAR-VIV'!G96,IF('ED ESTANDAR-VIV'!G95=Tablas!C14,Tablas!D14*'ED ESTANDAR-VIV'!G96,IF('ED ESTANDAR-VIV'!G95=Tablas!C15,Tablas!D15*'ED ESTANDAR-VIV'!G96,IF('ED ESTANDAR-VIV'!G95=Tablas!C16,Tablas!D16*'ED ESTANDAR-VIV'!G96,IF('ED ESTANDAR-VIV'!G95=Tablas!C17,Tablas!D17*'ED ESTANDAR-VIV'!G96,IF('ED ESTANDAR-VIV'!G95=Tablas!C18,Tablas!D18*'ED ESTANDAR-VIV'!G96,IF('ED ESTANDAR-VIV'!G95=Tablas!C19,Tablas!D19*'ED ESTANDAR-VIV'!G96,IF('ED ESTANDAR-VIV'!G95=Tablas!C20,Tablas!D20*'ED ESTANDAR-VIV'!G96,0))))))))))
+ IF(G98=Tablas!C11,Tablas!D11*'ED ESTANDAR-VIV'!G99,IF('ED ESTANDAR-VIV'!G98=Tablas!C12,Tablas!D12*'ED ESTANDAR-VIV'!G99,IF('ED ESTANDAR-VIV'!G98=Tablas!C13,Tablas!D13*'ED ESTANDAR-VIV'!G99,IF('ED ESTANDAR-VIV'!G98=Tablas!C14,Tablas!D14*'ED ESTANDAR-VIV'!G99,IF('ED ESTANDAR-VIV'!G98=Tablas!C15,Tablas!D15*'ED ESTANDAR-VIV'!G99,IF('ED ESTANDAR-VIV'!G98=Tablas!C16,Tablas!D16*'ED ESTANDAR-VIV'!G99,IF('ED ESTANDAR-VIV'!G98=Tablas!C17,Tablas!D17*'ED ESTANDAR-VIV'!G99,IF('ED ESTANDAR-VIV'!G98=Tablas!C18,Tablas!D18*'ED ESTANDAR-VIV'!G99,IF('ED ESTANDAR-VIV'!G98=Tablas!C19,Tablas!D19*'ED ESTANDAR-VIV'!G99,IF('ED ESTANDAR-VIV'!G98=Tablas!C20,Tablas!D20*'ED ESTANDAR-VIV'!G99,0)))))))))))/(IF(D23&gt;0,D34,G34))</f>
        <v>#DIV/0!</v>
      </c>
      <c r="E126" s="183"/>
      <c r="F126" s="183"/>
      <c r="G126" s="142"/>
      <c r="H126" s="142"/>
      <c r="I126" s="142"/>
      <c r="J126" s="142"/>
      <c r="K126" s="137"/>
    </row>
    <row r="127" spans="2:11" ht="33.75">
      <c r="B127" s="137"/>
      <c r="C127" s="155" t="s">
        <v>548</v>
      </c>
      <c r="D127" s="189" t="e">
        <f>(IF(D102=Tablas!C21,Tablas!D21*'ED ESTANDAR-VIV'!D103,IF(D102=Tablas!C22,Tablas!D22*'ED ESTANDAR-VIV'!D103,IF(D102=Tablas!C23,Tablas!D23*'ED ESTANDAR-VIV'!D103,IF(D102=Tablas!C24,Tablas!D24*'ED ESTANDAR-VIV'!D103,IF(D102=Tablas!C25,Tablas!D25*'ED ESTANDAR-VIV'!D103,0)))))
+IF(D105=Tablas!C21,Tablas!D21*'ED ESTANDAR-VIV'!D106,IF(D105=Tablas!C22,Tablas!D22*'ED ESTANDAR-VIV'!D106,IF(D105=Tablas!C23,Tablas!D23*'ED ESTANDAR-VIV'!D106,IF(D105=Tablas!C24,Tablas!D24*'ED ESTANDAR-VIV'!D106,IF(D105=Tablas!C25,Tablas!D25*'ED ESTANDAR-VIV'!D106,0))))
+IF(D108=Tablas!C21,Tablas!D21*'ED ESTANDAR-VIV'!D109,IF(D108=Tablas!C22,Tablas!D22*'ED ESTANDAR-VIV'!D109,IF(D108=Tablas!C23,Tablas!D23*'ED ESTANDAR-VIV'!D109,IF(D108=Tablas!C24,Tablas!D24*'ED ESTANDAR-VIV'!D109,IF(D108=Tablas!C25,Tablas!D25*'ED ESTANDAR-VIV'!D109,0))))
+IF(D111=Tablas!C21,Tablas!D21*'ED ESTANDAR-VIV'!D112,IF(D111=Tablas!C22,Tablas!D22*'ED ESTANDAR-VIV'!D112,IF(D111=Tablas!C23,Tablas!D23*'ED ESTANDAR-VIV'!D112,IF(D111=Tablas!C24,Tablas!D24*'ED ESTANDAR-VIV'!D112,IF(D111=Tablas!C25,Tablas!D25*'ED ESTANDAR-VIV'!D112,0))))))
+IF(D114=Tablas!C21,Tablas!D21*'ED ESTANDAR-VIV'!D115,IF(D114=Tablas!C22,Tablas!D22*'ED ESTANDAR-VIV'!D115,IF(D114=Tablas!C23,Tablas!D23*'ED ESTANDAR-VIV'!D115,IF(D114=Tablas!C24,Tablas!D24*'ED ESTANDAR-VIV'!D115,IF(D114=Tablas!C25,Tablas!D25*'ED ESTANDAR-VIV'!D115,0)))))))/(IF(D23&gt;0,D34,G34))</f>
        <v>#DIV/0!</v>
      </c>
      <c r="E127" s="183"/>
      <c r="F127" s="183"/>
      <c r="G127" s="142"/>
      <c r="H127" s="142"/>
      <c r="I127" s="142"/>
      <c r="J127" s="142"/>
      <c r="K127" s="137"/>
    </row>
    <row r="128" spans="2:11" ht="18.75" thickBot="1">
      <c r="B128" s="137"/>
      <c r="C128" s="148" t="s">
        <v>451</v>
      </c>
      <c r="D128" s="190" t="e">
        <f>SUM(D122:D127)</f>
        <v>#DIV/0!</v>
      </c>
      <c r="E128" s="183"/>
      <c r="F128" s="183"/>
      <c r="G128" s="142"/>
      <c r="H128" s="142"/>
      <c r="I128" s="142"/>
      <c r="J128" s="142"/>
      <c r="K128" s="137"/>
    </row>
    <row r="129" spans="2:11">
      <c r="B129" s="137"/>
      <c r="C129" s="135"/>
      <c r="D129" s="136"/>
      <c r="E129" s="149"/>
      <c r="F129" s="135"/>
      <c r="G129" s="135"/>
      <c r="H129" s="135"/>
      <c r="I129" s="137"/>
      <c r="J129" s="137"/>
      <c r="K129" s="137"/>
    </row>
  </sheetData>
  <mergeCells count="6">
    <mergeCell ref="E120:F120"/>
    <mergeCell ref="C2:J2"/>
    <mergeCell ref="D13:J13"/>
    <mergeCell ref="D14:J14"/>
    <mergeCell ref="D15:J15"/>
    <mergeCell ref="C118:D118"/>
  </mergeCells>
  <pageMargins left="0.7" right="0.7" top="0.75" bottom="0.75" header="0.3" footer="0.3"/>
  <pageSetup paperSize="9" orientation="portrait" horizontalDpi="300" verticalDpi="300" r:id="rId1"/>
  <drawing r:id="rId2"/>
  <legacyDrawing r:id="rId3"/>
  <extLst xmlns:x14="http://schemas.microsoft.com/office/spreadsheetml/2009/9/main">
    <ext uri="{CCE6A557-97BC-4b89-ADB6-D9C93CAAB3DF}">
      <x14:dataValidations xmlns:xm="http://schemas.microsoft.com/office/excel/2006/main" count="8">
        <x14:dataValidation type="list" allowBlank="1" showInputMessage="1" showErrorMessage="1">
          <x14:formula1>
            <xm:f>Tablas!$C$6:$C$10</xm:f>
          </x14:formula1>
          <xm:sqref>D37</xm:sqref>
        </x14:dataValidation>
        <x14:dataValidation type="list" allowBlank="1" showInputMessage="1" showErrorMessage="1">
          <x14:formula1>
            <xm:f>Tablas!$C$29:$C$34</xm:f>
          </x14:formula1>
          <xm:sqref>D52 D55 D43 D46 D49 D40</xm:sqref>
        </x14:dataValidation>
        <x14:dataValidation type="list" allowBlank="1" showInputMessage="1" showErrorMessage="1">
          <x14:formula1>
            <xm:f>Tablas!$C$11:$C$20</xm:f>
          </x14:formula1>
          <xm:sqref>D86 G95 G92 G89 G86 D98 D95 D92 D89 G98</xm:sqref>
        </x14:dataValidation>
        <x14:dataValidation type="list" allowBlank="1" showInputMessage="1" showErrorMessage="1">
          <x14:formula1>
            <xm:f>Tablas!$C$21:$C$25</xm:f>
          </x14:formula1>
          <xm:sqref>D102 D105 D111 D108 D114</xm:sqref>
        </x14:dataValidation>
        <x14:dataValidation type="list" allowBlank="1" showInputMessage="1" showErrorMessage="1">
          <x14:formula1>
            <xm:f>Tablas!$C$26:$C$28</xm:f>
          </x14:formula1>
          <xm:sqref>D59 D62 D65</xm:sqref>
        </x14:dataValidation>
        <x14:dataValidation type="list" allowBlank="1" showInputMessage="1" showErrorMessage="1">
          <x14:formula1>
            <xm:f>Tablas!$C$36:$C$38</xm:f>
          </x14:formula1>
          <xm:sqref>D70 D73 D76</xm:sqref>
        </x14:dataValidation>
        <x14:dataValidation type="list" allowBlank="1" showInputMessage="1" showErrorMessage="1">
          <x14:formula1>
            <xm:f>Tablas!$C$39:$C$43</xm:f>
          </x14:formula1>
          <xm:sqref>G70 G73 G76 G79 G82</xm:sqref>
        </x14:dataValidation>
        <x14:dataValidation type="list" allowBlank="1" showInputMessage="1" showErrorMessage="1">
          <x14:formula1>
            <xm:f>Tablas!$C$44:$C$47</xm:f>
          </x14:formula1>
          <xm:sqref>J70 J73 J76 J79</xm:sqref>
        </x14:dataValidation>
      </x14:dataValidations>
    </ext>
  </extLst>
</worksheet>
</file>

<file path=xl/worksheets/sheet6.xml><?xml version="1.0" encoding="utf-8"?>
<worksheet xmlns="http://schemas.openxmlformats.org/spreadsheetml/2006/main" xmlns:r="http://schemas.openxmlformats.org/officeDocument/2006/relationships">
  <sheetPr codeName="Hoja5"/>
  <dimension ref="B2:E47"/>
  <sheetViews>
    <sheetView topLeftCell="A30" zoomScale="110" zoomScaleNormal="110" workbookViewId="0">
      <selection activeCell="C21" sqref="C21"/>
    </sheetView>
  </sheetViews>
  <sheetFormatPr baseColWidth="10" defaultColWidth="9.140625" defaultRowHeight="15"/>
  <cols>
    <col min="1" max="1" width="3" bestFit="1" customWidth="1"/>
    <col min="2" max="2" width="18.7109375" customWidth="1"/>
    <col min="3" max="3" width="29.28515625" bestFit="1" customWidth="1"/>
    <col min="4" max="4" width="22.85546875" bestFit="1" customWidth="1"/>
    <col min="5" max="5" width="31" bestFit="1" customWidth="1"/>
    <col min="6" max="6" width="7.7109375" bestFit="1" customWidth="1"/>
    <col min="8" max="8" width="37.7109375" bestFit="1" customWidth="1"/>
    <col min="10" max="10" width="19.42578125" bestFit="1" customWidth="1"/>
    <col min="13" max="13" width="38.7109375" bestFit="1" customWidth="1"/>
  </cols>
  <sheetData>
    <row r="2" spans="2:4" ht="18.75" thickBot="1">
      <c r="B2" s="12" t="s">
        <v>178</v>
      </c>
      <c r="C2" s="12" t="s">
        <v>179</v>
      </c>
      <c r="D2" s="12" t="s">
        <v>182</v>
      </c>
    </row>
    <row r="3" spans="2:4">
      <c r="B3" s="257" t="s">
        <v>121</v>
      </c>
      <c r="C3" s="15" t="s">
        <v>122</v>
      </c>
      <c r="D3" s="16"/>
    </row>
    <row r="4" spans="2:4" ht="15.75" thickBot="1">
      <c r="B4" s="256"/>
      <c r="C4" s="17" t="s">
        <v>423</v>
      </c>
      <c r="D4" s="18"/>
    </row>
    <row r="5" spans="2:4" ht="15.75" thickBot="1">
      <c r="B5" s="258" t="s">
        <v>107</v>
      </c>
      <c r="C5" s="95" t="s">
        <v>181</v>
      </c>
      <c r="D5" s="96">
        <f>IF('ENTRADA DE DATOS'!D23&gt;0,'ENTRADA DE DATOS'!D23,'ENTRADA DE DATOS'!G23)</f>
        <v>0</v>
      </c>
    </row>
    <row r="6" spans="2:4" ht="14.45" customHeight="1">
      <c r="B6" s="259"/>
      <c r="C6" s="14" t="s">
        <v>415</v>
      </c>
      <c r="D6" s="69">
        <f>IF(D5=1,Estructura!Q4,IF(D5=2,Estructura!Q5,IF(D5=3,Estructura!Q6,IF(D5=4,Estructura!Q7,IF(D5=5,Estructura!Q8,IF(D5=6,Estructura!Q9,IF(D5=7,Estructura!Q10,IF(D5=8,Estructura!Q11,IF(D5=9,Estructura!Q12,IF(D5=10,Estructura!Q13,0))))))))))</f>
        <v>0</v>
      </c>
    </row>
    <row r="7" spans="2:4" ht="14.45" customHeight="1">
      <c r="B7" s="259"/>
      <c r="C7" s="14" t="s">
        <v>468</v>
      </c>
      <c r="D7" s="120">
        <f>IF(D5=1,Estructura!Q31,IF(D5=2,Estructura!Q32,IF(D5=3,Estructura!Q33,IF(D5=4,Estructura!Q34,IF(D5=5,Estructura!Q35,0)))))</f>
        <v>0</v>
      </c>
    </row>
    <row r="8" spans="2:4" ht="14.45" customHeight="1">
      <c r="B8" s="259"/>
      <c r="C8" s="11" t="s">
        <v>18</v>
      </c>
      <c r="D8" s="70">
        <f>IF(D5=1,Estructura!Q18,IF(D5=2,Estructura!Q19,IF(D5=3,Estructura!Q20,IF(D5=4,Estructura!Q21,IF(D5=5,Estructura!Q22,IF(D5=6,Estructura!Q23,IF(D5=7,Estructura!Q24,IF(D5=8,Estructura!Q25,IF(D5=9,Estructura!Q26,IF(D5=10,Estructura!Q27,0))))))))))</f>
        <v>0</v>
      </c>
    </row>
    <row r="9" spans="2:4">
      <c r="B9" s="259"/>
      <c r="C9" s="11" t="s">
        <v>7</v>
      </c>
      <c r="D9" s="70">
        <f>IF(D5=1,Estructura!AA4,IF(D5=2,Estructura!AA5,IF(D5=3,Estructura!AA6,IF(D5=4,Estructura!AA7,IF(D5=5,Estructura!AA8,IF(D5=6,Estructura!AA9,IF(D5=7,Estructura!AA10,IF(D5=8,Estructura!AA11,IF(D5=9,Estructura!AA12,IF(D5=10,Estructura!AA13,0))))))))))</f>
        <v>0</v>
      </c>
    </row>
    <row r="10" spans="2:4" ht="15.75" thickBot="1">
      <c r="B10" s="260"/>
      <c r="C10" s="17" t="s">
        <v>8</v>
      </c>
      <c r="D10" s="71">
        <f>IF(D5=1,Estructura!I4,IF(D5=2,Estructura!I5,IF(D5=3,Estructura!I6,IF(D5=4,Estructura!I7,IF(D5=5,Estructura!I8,IF(D5=6,Estructura!I9,IF(D5=7,Estructura!I10,IF(D5=8,Estructura!I11,IF(D5=9,Estructura!I12,IF(D5=10,Estructura!I13,0))))))))))</f>
        <v>0</v>
      </c>
    </row>
    <row r="11" spans="2:4">
      <c r="B11" s="257" t="s">
        <v>156</v>
      </c>
      <c r="C11" s="93" t="s">
        <v>127</v>
      </c>
      <c r="D11" s="94">
        <f>Pavimentos!J29</f>
        <v>18.583628210000001</v>
      </c>
    </row>
    <row r="12" spans="2:4">
      <c r="B12" s="254"/>
      <c r="C12" s="11" t="s">
        <v>41</v>
      </c>
      <c r="D12" s="70">
        <f>Pavimentos!J37</f>
        <v>26.083106526315788</v>
      </c>
    </row>
    <row r="13" spans="2:4">
      <c r="B13" s="254"/>
      <c r="C13" s="11" t="s">
        <v>43</v>
      </c>
      <c r="D13" s="70">
        <f>Pavimentos!J44</f>
        <v>22.137800000000002</v>
      </c>
    </row>
    <row r="14" spans="2:4">
      <c r="B14" s="254"/>
      <c r="C14" s="11" t="s">
        <v>33</v>
      </c>
      <c r="D14" s="70">
        <f>Pavimentos!J20</f>
        <v>38.984000000000002</v>
      </c>
    </row>
    <row r="15" spans="2:4">
      <c r="B15" s="254"/>
      <c r="C15" s="11" t="s">
        <v>31</v>
      </c>
      <c r="D15" s="70">
        <f>Pavimentos!J14</f>
        <v>25.802000000000003</v>
      </c>
    </row>
    <row r="16" spans="2:4">
      <c r="B16" s="254"/>
      <c r="C16" s="11" t="s">
        <v>27</v>
      </c>
      <c r="D16" s="70">
        <f>Pavimentos!J8</f>
        <v>56.798999999999999</v>
      </c>
    </row>
    <row r="17" spans="2:5">
      <c r="B17" s="254"/>
      <c r="C17" s="11" t="s">
        <v>46</v>
      </c>
      <c r="D17" s="70">
        <f>Pavimentos!J50</f>
        <v>28.086299999999998</v>
      </c>
      <c r="E17" s="3"/>
    </row>
    <row r="18" spans="2:5">
      <c r="B18" s="254"/>
      <c r="C18" s="11" t="s">
        <v>608</v>
      </c>
      <c r="D18" s="70">
        <f>Pavimentos!J56</f>
        <v>34.376699999999992</v>
      </c>
    </row>
    <row r="19" spans="2:5">
      <c r="B19" s="254"/>
      <c r="C19" s="11" t="s">
        <v>48</v>
      </c>
      <c r="D19" s="70">
        <f>Pavimentos!J63</f>
        <v>24.76653052631579</v>
      </c>
    </row>
    <row r="20" spans="2:5" ht="15.75" thickBot="1">
      <c r="B20" s="256"/>
      <c r="C20" s="17" t="s">
        <v>49</v>
      </c>
      <c r="D20" s="71">
        <f>Pavimentos!J69</f>
        <v>26.017599999999998</v>
      </c>
    </row>
    <row r="21" spans="2:5" ht="15" customHeight="1">
      <c r="B21" s="257" t="s">
        <v>111</v>
      </c>
      <c r="C21" s="15" t="s">
        <v>270</v>
      </c>
      <c r="D21" s="80">
        <f>'Revest. interiores verticales'!J6</f>
        <v>9.3629999999999995</v>
      </c>
    </row>
    <row r="22" spans="2:5">
      <c r="B22" s="254"/>
      <c r="C22" s="14" t="s">
        <v>271</v>
      </c>
      <c r="D22" s="72">
        <f>'Revest. interiores verticales'!J11</f>
        <v>20.414999999999999</v>
      </c>
    </row>
    <row r="23" spans="2:5">
      <c r="B23" s="254"/>
      <c r="C23" s="11" t="s">
        <v>112</v>
      </c>
      <c r="D23" s="73">
        <f>'Revest. interiores verticales'!J14</f>
        <v>2.2200000000000002</v>
      </c>
    </row>
    <row r="24" spans="2:5">
      <c r="B24" s="254"/>
      <c r="C24" s="11" t="s">
        <v>113</v>
      </c>
      <c r="D24" s="74">
        <f>'Revest. interiores verticales'!J22</f>
        <v>3.7082077999999998</v>
      </c>
    </row>
    <row r="25" spans="2:5" ht="15.75" thickBot="1">
      <c r="B25" s="256"/>
      <c r="C25" s="17" t="s">
        <v>114</v>
      </c>
      <c r="D25" s="79">
        <f>'Revest. interiores verticales'!J28</f>
        <v>24.360992800000002</v>
      </c>
    </row>
    <row r="26" spans="2:5">
      <c r="B26" s="257" t="s">
        <v>115</v>
      </c>
      <c r="C26" s="15" t="s">
        <v>116</v>
      </c>
      <c r="D26" s="80">
        <f>Carpinterias!W30</f>
        <v>56.221002277684178</v>
      </c>
    </row>
    <row r="27" spans="2:5">
      <c r="B27" s="254"/>
      <c r="C27" s="11" t="s">
        <v>100</v>
      </c>
      <c r="D27" s="74">
        <f>Carpinterias!W29</f>
        <v>97.804160257818779</v>
      </c>
    </row>
    <row r="28" spans="2:5" ht="15.75" thickBot="1">
      <c r="B28" s="256"/>
      <c r="C28" s="17" t="s">
        <v>117</v>
      </c>
      <c r="D28" s="79">
        <f>Carpinterias!W28</f>
        <v>114.18138138138139</v>
      </c>
    </row>
    <row r="29" spans="2:5">
      <c r="B29" s="257" t="s">
        <v>129</v>
      </c>
      <c r="C29" s="15" t="s">
        <v>130</v>
      </c>
      <c r="D29" s="78">
        <f>'Revest. fachadas ventilada'!J9</f>
        <v>8.9264168000000002</v>
      </c>
    </row>
    <row r="30" spans="2:5">
      <c r="B30" s="254"/>
      <c r="C30" s="11" t="s">
        <v>118</v>
      </c>
      <c r="D30" s="19">
        <f>'Revest. fachadas ventilada'!J14</f>
        <v>38.46</v>
      </c>
    </row>
    <row r="31" spans="2:5">
      <c r="B31" s="254"/>
      <c r="C31" s="111" t="s">
        <v>542</v>
      </c>
      <c r="D31" s="70">
        <f>'Revest. fachadas ventilada'!J19</f>
        <v>59.701830258861008</v>
      </c>
    </row>
    <row r="32" spans="2:5">
      <c r="B32" s="254"/>
      <c r="C32" s="111" t="s">
        <v>543</v>
      </c>
      <c r="D32" s="70">
        <f>'Revest. fachadas ventilada'!J36</f>
        <v>39.21</v>
      </c>
    </row>
    <row r="33" spans="2:4">
      <c r="B33" s="254"/>
      <c r="C33" s="11" t="s">
        <v>119</v>
      </c>
      <c r="D33" s="19">
        <f>'Revest. fachadas ventilada'!J25</f>
        <v>57.139999999999993</v>
      </c>
    </row>
    <row r="34" spans="2:4" ht="15.75" thickBot="1">
      <c r="B34" s="254"/>
      <c r="C34" s="13" t="s">
        <v>607</v>
      </c>
      <c r="D34" s="98">
        <f>'Revest. fachadas ventilada'!J31</f>
        <v>34.86</v>
      </c>
    </row>
    <row r="35" spans="2:4" ht="15.75" thickBot="1">
      <c r="B35" s="121" t="s">
        <v>433</v>
      </c>
      <c r="C35" s="122" t="s">
        <v>453</v>
      </c>
      <c r="D35" s="123">
        <f>'ENTRADA DE DATOS'!D19</f>
        <v>0</v>
      </c>
    </row>
    <row r="36" spans="2:4" ht="17.25">
      <c r="B36" s="251" t="s">
        <v>532</v>
      </c>
      <c r="C36" s="119" t="s">
        <v>525</v>
      </c>
      <c r="D36" s="69">
        <f>IF(D35=Aislamiento!F10,Aislamiento!F18,IF(D35=Aislamiento!G10,Aislamiento!G18,IF(D35=Aislamiento!H10,Aislamiento!H18,IF(D35=Aislamiento!I10,Aislamiento!I18,IF(D35=Aislamiento!J10,Aislamiento!J18,0)))))</f>
        <v>0</v>
      </c>
    </row>
    <row r="37" spans="2:4" ht="17.25">
      <c r="B37" s="251"/>
      <c r="C37" s="99" t="s">
        <v>527</v>
      </c>
      <c r="D37" s="70">
        <f>IF(D35=Aislamiento!F10,Aislamiento!F19,IF(D35=Aislamiento!G10,Aislamiento!G19,IF(D35=Aislamiento!H10,Aislamiento!H19,IF(D35=Aislamiento!I10,Aislamiento!I19,IF(D35=Aislamiento!J10,Aislamiento!J19,0)))))</f>
        <v>0</v>
      </c>
    </row>
    <row r="38" spans="2:4" ht="17.25">
      <c r="B38" s="252"/>
      <c r="C38" s="99" t="s">
        <v>528</v>
      </c>
      <c r="D38" s="70">
        <f>IF(D35=Aislamiento!F10,Aislamiento!F20,IF(D35=Aislamiento!G10,Aislamiento!G20,IF(D35=Aislamiento!H10,Aislamiento!H20,IF(D35=Aislamiento!I10,Aislamiento!I20,IF(D35=Aislamiento!J10,Aislamiento!J20,0)))))</f>
        <v>0</v>
      </c>
    </row>
    <row r="39" spans="2:4" ht="17.25">
      <c r="B39" s="253" t="s">
        <v>533</v>
      </c>
      <c r="C39" s="99" t="s">
        <v>526</v>
      </c>
      <c r="D39" s="70">
        <f>IF(D35=Aislamiento!F10,Aislamiento!F21,IF(D35=Aislamiento!G10,Aislamiento!G21,IF(D35=Aislamiento!H10,Aislamiento!H21,IF(D35=Aislamiento!I10,Aislamiento!I21,IF(D35=Aislamiento!J10,Aislamiento!J21,0)))))</f>
        <v>0</v>
      </c>
    </row>
    <row r="40" spans="2:4" ht="17.25">
      <c r="B40" s="254"/>
      <c r="C40" s="99" t="s">
        <v>529</v>
      </c>
      <c r="D40" s="70">
        <f>IF(D35=Aislamiento!F10,Aislamiento!F22,IF(D35=Aislamiento!G10,Aislamiento!G22,IF(D35=Aislamiento!H10,Aislamiento!H22,IF(D35=Aislamiento!I10,Aislamiento!I22,IF(D35=Aislamiento!J10,Aislamiento!J22,0)))))</f>
        <v>0</v>
      </c>
    </row>
    <row r="41" spans="2:4" ht="17.25">
      <c r="B41" s="254"/>
      <c r="C41" s="99" t="s">
        <v>530</v>
      </c>
      <c r="D41" s="70">
        <f>IF(D35=Aislamiento!F10,Aislamiento!F23,IF(D35=Aislamiento!G10,Aislamiento!G23,IF(D35=Aislamiento!H10,Aislamiento!H23,IF(D35=Aislamiento!I10,Aislamiento!I23,IF(D35=Aislamiento!J10,Aislamiento!J23,0)))))</f>
        <v>0</v>
      </c>
    </row>
    <row r="42" spans="2:4" ht="17.25">
      <c r="B42" s="254"/>
      <c r="C42" s="99" t="s">
        <v>531</v>
      </c>
      <c r="D42" s="70">
        <f>IF(D35=Aislamiento!F10,Aislamiento!F24,IF(D35=Aislamiento!G10,Aislamiento!G24,IF(D35=Aislamiento!H10,Aislamiento!H24,IF(D35=Aislamiento!I10,Aislamiento!I24,IF(D35=Aislamiento!J10,Aislamiento!J24,0)))))</f>
        <v>0</v>
      </c>
    </row>
    <row r="43" spans="2:4" ht="17.25">
      <c r="B43" s="255"/>
      <c r="C43" s="99" t="s">
        <v>528</v>
      </c>
      <c r="D43" s="70">
        <f>IF(D35=Aislamiento!F10,Aislamiento!F25,IF(D35=Aislamiento!G10,Aislamiento!G25,IF(D35=Aislamiento!H10,Aislamiento!H25,IF(D35=Aislamiento!I10,Aislamiento!I25,IF(D35=Aislamiento!J10,Aislamiento!J25,0)))))</f>
        <v>0</v>
      </c>
    </row>
    <row r="44" spans="2:4" ht="17.25">
      <c r="B44" s="253" t="s">
        <v>534</v>
      </c>
      <c r="C44" s="99" t="s">
        <v>526</v>
      </c>
      <c r="D44" s="70">
        <f>IF(D35=Aislamiento!F10,Aislamiento!F26,IF(D35=Aislamiento!G10,Aislamiento!G26,IF(D35=Aislamiento!H10,Aislamiento!H26,IF(D35=Aislamiento!I10,Aislamiento!I26,IF(D35=Aislamiento!J10,Aislamiento!J26,0)))))</f>
        <v>0</v>
      </c>
    </row>
    <row r="45" spans="2:4" ht="17.25">
      <c r="B45" s="254"/>
      <c r="C45" s="99" t="s">
        <v>525</v>
      </c>
      <c r="D45" s="70">
        <f>IF(D35=Aislamiento!F10,Aislamiento!F27,IF(D35=Aislamiento!G10,Aislamiento!G27,IF(D35=Aislamiento!H10,Aislamiento!H27,IF(D35=Aislamiento!I10,Aislamiento!I27,IF(D35=Aislamiento!J10,Aislamiento!J27,0)))))</f>
        <v>0</v>
      </c>
    </row>
    <row r="46" spans="2:4" ht="17.25">
      <c r="B46" s="254"/>
      <c r="C46" s="99" t="s">
        <v>527</v>
      </c>
      <c r="D46" s="70">
        <f>IF(D35=Aislamiento!F10,Aislamiento!F28,IF(D35=Aislamiento!G10,Aislamiento!G28,IF(D35=Aislamiento!H10,Aislamiento!H28,IF(D35=Aislamiento!I10,Aislamiento!I28,IF(D35=Aislamiento!J10,Aislamiento!J28,0)))))</f>
        <v>0</v>
      </c>
    </row>
    <row r="47" spans="2:4" ht="18" thickBot="1">
      <c r="B47" s="256"/>
      <c r="C47" s="100" t="s">
        <v>528</v>
      </c>
      <c r="D47" s="71">
        <f>IF(D35=Aislamiento!F10,Aislamiento!F29,IF(D35=Aislamiento!G10,Aislamiento!G29,IF(D35=Aislamiento!H10,Aislamiento!H29,IF(D35=Aislamiento!I10,Aislamiento!I29,IF(D35=Aislamiento!J10,Aislamiento!J29,0)))))</f>
        <v>0</v>
      </c>
    </row>
  </sheetData>
  <mergeCells count="9">
    <mergeCell ref="B36:B38"/>
    <mergeCell ref="B39:B43"/>
    <mergeCell ref="B44:B47"/>
    <mergeCell ref="B3:B4"/>
    <mergeCell ref="B5:B10"/>
    <mergeCell ref="B29:B34"/>
    <mergeCell ref="B26:B28"/>
    <mergeCell ref="B21:B25"/>
    <mergeCell ref="B11:B2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Hoja6"/>
  <dimension ref="B2:Z30"/>
  <sheetViews>
    <sheetView topLeftCell="A5" zoomScale="73" zoomScaleNormal="73" workbookViewId="0">
      <selection activeCell="E31" sqref="E31"/>
    </sheetView>
  </sheetViews>
  <sheetFormatPr baseColWidth="10" defaultColWidth="10.7109375" defaultRowHeight="15"/>
  <cols>
    <col min="2" max="2" width="8.5703125" bestFit="1" customWidth="1"/>
    <col min="3" max="3" width="25.5703125" bestFit="1" customWidth="1"/>
    <col min="4" max="4" width="20.140625" bestFit="1" customWidth="1"/>
    <col min="5" max="5" width="35.42578125" bestFit="1" customWidth="1"/>
    <col min="6" max="6" width="14.7109375" customWidth="1"/>
    <col min="7" max="7" width="14.85546875" customWidth="1"/>
    <col min="8" max="9" width="14.5703125" customWidth="1"/>
    <col min="10" max="10" width="14.85546875" customWidth="1"/>
    <col min="11" max="11" width="21.7109375" bestFit="1" customWidth="1"/>
    <col min="12" max="12" width="22.5703125" bestFit="1" customWidth="1"/>
    <col min="13" max="13" width="14.42578125" customWidth="1"/>
    <col min="14" max="14" width="2.28515625" bestFit="1" customWidth="1"/>
    <col min="15" max="19" width="3.140625" bestFit="1" customWidth="1"/>
    <col min="20" max="20" width="15.28515625" bestFit="1" customWidth="1"/>
    <col min="21" max="21" width="13.28515625" customWidth="1"/>
    <col min="22" max="22" width="2.28515625" bestFit="1" customWidth="1"/>
    <col min="23" max="24" width="2.140625" bestFit="1" customWidth="1"/>
    <col min="25" max="25" width="2.28515625" bestFit="1" customWidth="1"/>
    <col min="26" max="26" width="2.140625" bestFit="1" customWidth="1"/>
  </cols>
  <sheetData>
    <row r="2" spans="4:26">
      <c r="E2" s="10" t="s">
        <v>453</v>
      </c>
      <c r="F2" s="10" t="s">
        <v>441</v>
      </c>
      <c r="G2" s="10" t="s">
        <v>442</v>
      </c>
      <c r="H2" s="10" t="s">
        <v>443</v>
      </c>
      <c r="I2" s="10" t="s">
        <v>444</v>
      </c>
      <c r="J2" s="10" t="s">
        <v>445</v>
      </c>
    </row>
    <row r="3" spans="4:26" ht="30">
      <c r="E3" s="20" t="s">
        <v>458</v>
      </c>
      <c r="F3" s="11">
        <v>0.5</v>
      </c>
      <c r="G3" s="11">
        <v>0.38</v>
      </c>
      <c r="H3" s="11">
        <v>0.28999999999999998</v>
      </c>
      <c r="I3" s="11">
        <v>0.27</v>
      </c>
      <c r="J3" s="11">
        <v>0.23</v>
      </c>
    </row>
    <row r="4" spans="4:26" ht="30">
      <c r="E4" s="20" t="s">
        <v>459</v>
      </c>
      <c r="F4" s="11">
        <v>0.44</v>
      </c>
      <c r="G4" s="11">
        <v>0.33</v>
      </c>
      <c r="H4" s="11">
        <v>0.23</v>
      </c>
      <c r="I4" s="11">
        <v>0.22</v>
      </c>
      <c r="J4" s="11">
        <v>0.19</v>
      </c>
    </row>
    <row r="5" spans="4:26" ht="45">
      <c r="E5" s="20" t="s">
        <v>463</v>
      </c>
      <c r="F5" s="11">
        <v>0.8</v>
      </c>
      <c r="G5" s="11">
        <v>0.69</v>
      </c>
      <c r="H5" s="11">
        <v>0.48</v>
      </c>
      <c r="I5" s="11">
        <v>0.48</v>
      </c>
      <c r="J5" s="11">
        <v>0.48</v>
      </c>
    </row>
    <row r="6" spans="4:26" ht="15.75" thickBot="1">
      <c r="E6" s="51"/>
      <c r="F6" s="51"/>
      <c r="G6" s="51"/>
      <c r="H6" s="51"/>
      <c r="I6" s="51"/>
      <c r="J6" s="51"/>
    </row>
    <row r="7" spans="4:26" ht="15.75" thickBot="1">
      <c r="D7" s="261" t="s">
        <v>454</v>
      </c>
      <c r="E7" s="262"/>
      <c r="F7" s="262"/>
      <c r="G7" s="262"/>
      <c r="H7" s="262"/>
      <c r="I7" s="262"/>
      <c r="J7" s="263"/>
      <c r="L7" s="261" t="s">
        <v>455</v>
      </c>
      <c r="M7" s="262"/>
      <c r="N7" s="262"/>
      <c r="O7" s="262"/>
      <c r="P7" s="262"/>
      <c r="Q7" s="262"/>
      <c r="R7" s="263"/>
      <c r="T7" s="261" t="s">
        <v>464</v>
      </c>
      <c r="U7" s="262"/>
      <c r="V7" s="262"/>
      <c r="W7" s="262"/>
      <c r="X7" s="262"/>
      <c r="Y7" s="262"/>
      <c r="Z7" s="263"/>
    </row>
    <row r="8" spans="4:26">
      <c r="D8" s="41"/>
      <c r="E8" s="9"/>
      <c r="F8" s="9"/>
      <c r="G8" s="9"/>
      <c r="H8" s="9"/>
      <c r="I8" s="9"/>
      <c r="J8" s="42"/>
      <c r="L8" s="41"/>
      <c r="M8" s="9"/>
      <c r="N8" s="9"/>
      <c r="O8" s="9"/>
      <c r="P8" s="9"/>
      <c r="Q8" s="9"/>
      <c r="R8" s="42"/>
      <c r="T8" s="41"/>
      <c r="U8" s="9"/>
      <c r="V8" s="9"/>
      <c r="W8" s="9"/>
      <c r="X8" s="9"/>
      <c r="Y8" s="9"/>
      <c r="Z8" s="42"/>
    </row>
    <row r="9" spans="4:26">
      <c r="D9" s="41"/>
      <c r="E9" s="9"/>
      <c r="F9" s="264" t="s">
        <v>515</v>
      </c>
      <c r="G9" s="264"/>
      <c r="H9" s="264"/>
      <c r="I9" s="264"/>
      <c r="J9" s="265"/>
      <c r="L9" s="41"/>
      <c r="M9" s="9"/>
      <c r="N9" s="264" t="s">
        <v>515</v>
      </c>
      <c r="O9" s="264"/>
      <c r="P9" s="264"/>
      <c r="Q9" s="264"/>
      <c r="R9" s="265"/>
      <c r="T9" s="41"/>
      <c r="U9" s="9"/>
      <c r="V9" s="264" t="s">
        <v>515</v>
      </c>
      <c r="W9" s="264"/>
      <c r="X9" s="264"/>
      <c r="Y9" s="264"/>
      <c r="Z9" s="265"/>
    </row>
    <row r="10" spans="4:26" ht="45">
      <c r="D10" s="110" t="s">
        <v>456</v>
      </c>
      <c r="E10" s="105" t="s">
        <v>457</v>
      </c>
      <c r="F10" s="113" t="s">
        <v>441</v>
      </c>
      <c r="G10" s="113" t="s">
        <v>442</v>
      </c>
      <c r="H10" s="113" t="s">
        <v>443</v>
      </c>
      <c r="I10" s="113" t="s">
        <v>444</v>
      </c>
      <c r="J10" s="114" t="s">
        <v>445</v>
      </c>
      <c r="L10" s="110" t="s">
        <v>456</v>
      </c>
      <c r="M10" s="105" t="s">
        <v>457</v>
      </c>
      <c r="N10" s="113" t="s">
        <v>441</v>
      </c>
      <c r="O10" s="113" t="s">
        <v>442</v>
      </c>
      <c r="P10" s="113" t="s">
        <v>443</v>
      </c>
      <c r="Q10" s="113" t="s">
        <v>444</v>
      </c>
      <c r="R10" s="114" t="s">
        <v>445</v>
      </c>
      <c r="T10" s="110" t="s">
        <v>456</v>
      </c>
      <c r="U10" s="105" t="s">
        <v>457</v>
      </c>
      <c r="V10" s="113" t="s">
        <v>441</v>
      </c>
      <c r="W10" s="113" t="s">
        <v>442</v>
      </c>
      <c r="X10" s="113" t="s">
        <v>443</v>
      </c>
      <c r="Y10" s="113" t="s">
        <v>444</v>
      </c>
      <c r="Z10" s="114" t="s">
        <v>445</v>
      </c>
    </row>
    <row r="11" spans="4:26">
      <c r="D11" s="102" t="s">
        <v>434</v>
      </c>
      <c r="E11" s="101">
        <v>3.9E-2</v>
      </c>
      <c r="F11" s="106">
        <f>($E$11/F$3)*100</f>
        <v>7.8</v>
      </c>
      <c r="G11" s="106">
        <f>($E$11/G$3)*100</f>
        <v>10.263157894736842</v>
      </c>
      <c r="H11" s="106">
        <f>($E$11/H$3)*100</f>
        <v>13.448275862068968</v>
      </c>
      <c r="I11" s="106">
        <f>($E$11/I$3)*100</f>
        <v>14.444444444444443</v>
      </c>
      <c r="J11" s="107">
        <f>($E$11/J$3)*100</f>
        <v>16.956521739130434</v>
      </c>
      <c r="L11" s="102" t="s">
        <v>434</v>
      </c>
      <c r="M11" s="101">
        <v>3.9E-2</v>
      </c>
      <c r="N11" s="106">
        <f>($M$11/F$4)*100</f>
        <v>8.8636363636363633</v>
      </c>
      <c r="O11" s="106">
        <f>($M$11/G$4)*100</f>
        <v>11.818181818181818</v>
      </c>
      <c r="P11" s="106">
        <f>($M$11/H$4)*100</f>
        <v>16.956521739130434</v>
      </c>
      <c r="Q11" s="106">
        <f>($M$11/I$4)*100</f>
        <v>17.727272727272727</v>
      </c>
      <c r="R11" s="107">
        <f>($M$11/J$4)*100</f>
        <v>20.526315789473685</v>
      </c>
      <c r="T11" s="102" t="s">
        <v>434</v>
      </c>
      <c r="U11" s="101">
        <v>3.9E-2</v>
      </c>
      <c r="V11" s="106">
        <f>($U$11/F$5)*100</f>
        <v>4.8749999999999991</v>
      </c>
      <c r="W11" s="106">
        <f>($U$11/G$5)*100</f>
        <v>5.6521739130434785</v>
      </c>
      <c r="X11" s="106">
        <f>($U$11/H$5)*100</f>
        <v>8.125</v>
      </c>
      <c r="Y11" s="106">
        <f>($U$11/I$5)*100</f>
        <v>8.125</v>
      </c>
      <c r="Z11" s="107">
        <f>($U$11/J$5)*100</f>
        <v>8.125</v>
      </c>
    </row>
    <row r="12" spans="4:26">
      <c r="D12" s="102" t="s">
        <v>435</v>
      </c>
      <c r="E12" s="101">
        <v>3.9E-2</v>
      </c>
      <c r="F12" s="106">
        <f>($E$12/F$3)*100</f>
        <v>7.8</v>
      </c>
      <c r="G12" s="106">
        <f>($E$12/G$3)*100</f>
        <v>10.263157894736842</v>
      </c>
      <c r="H12" s="106">
        <f>($E$12/H$3)*100</f>
        <v>13.448275862068968</v>
      </c>
      <c r="I12" s="106">
        <f>($E$12/I$3)*100</f>
        <v>14.444444444444443</v>
      </c>
      <c r="J12" s="107">
        <f>($E$12/J$3)*100</f>
        <v>16.956521739130434</v>
      </c>
      <c r="L12" s="102" t="s">
        <v>435</v>
      </c>
      <c r="M12" s="101">
        <v>3.9E-2</v>
      </c>
      <c r="N12" s="106">
        <f>($M$12/F$4)*100</f>
        <v>8.8636363636363633</v>
      </c>
      <c r="O12" s="106">
        <f>($M$12/G$4)*100</f>
        <v>11.818181818181818</v>
      </c>
      <c r="P12" s="106">
        <f>($M$12/H$4)*100</f>
        <v>16.956521739130434</v>
      </c>
      <c r="Q12" s="106">
        <f>($M$12/I$4)*100</f>
        <v>17.727272727272727</v>
      </c>
      <c r="R12" s="107">
        <f>($M$12/J$4)*100</f>
        <v>20.526315789473685</v>
      </c>
      <c r="T12" s="102" t="s">
        <v>435</v>
      </c>
      <c r="U12" s="101">
        <v>3.9E-2</v>
      </c>
      <c r="V12" s="106">
        <f>($U$12/F$5)*100</f>
        <v>4.8749999999999991</v>
      </c>
      <c r="W12" s="106">
        <f>($U$12/G$5)*100</f>
        <v>5.6521739130434785</v>
      </c>
      <c r="X12" s="106">
        <f>($U$12/H$5)*100</f>
        <v>8.125</v>
      </c>
      <c r="Y12" s="106">
        <f>($U$12/I$5)*100</f>
        <v>8.125</v>
      </c>
      <c r="Z12" s="107">
        <f>($U$12/J$5)*100</f>
        <v>8.125</v>
      </c>
    </row>
    <row r="13" spans="4:26" ht="15.75" thickBot="1">
      <c r="D13" s="103" t="s">
        <v>436</v>
      </c>
      <c r="E13" s="104">
        <v>3.9E-2</v>
      </c>
      <c r="F13" s="108">
        <f>($E$13/F$3)*100</f>
        <v>7.8</v>
      </c>
      <c r="G13" s="108">
        <f>($E$13/G$3)*100</f>
        <v>10.263157894736842</v>
      </c>
      <c r="H13" s="108">
        <f>($E$13/H$3)*100</f>
        <v>13.448275862068968</v>
      </c>
      <c r="I13" s="108">
        <f>($E$13/I$3)*100</f>
        <v>14.444444444444443</v>
      </c>
      <c r="J13" s="109">
        <f>($E$13/J$3)*100</f>
        <v>16.956521739130434</v>
      </c>
      <c r="L13" s="103" t="s">
        <v>436</v>
      </c>
      <c r="M13" s="104">
        <v>3.9E-2</v>
      </c>
      <c r="N13" s="108">
        <f>($M$13/F$4)*100</f>
        <v>8.8636363636363633</v>
      </c>
      <c r="O13" s="108">
        <f>($M$13/G$4)*100</f>
        <v>11.818181818181818</v>
      </c>
      <c r="P13" s="108">
        <f>($M$13/H$4)*100</f>
        <v>16.956521739130434</v>
      </c>
      <c r="Q13" s="108">
        <f>($M$13/I$4)*100</f>
        <v>17.727272727272727</v>
      </c>
      <c r="R13" s="109">
        <f>($M$13/J$4)*100</f>
        <v>20.526315789473685</v>
      </c>
      <c r="T13" s="103" t="s">
        <v>436</v>
      </c>
      <c r="U13" s="104">
        <v>3.9E-2</v>
      </c>
      <c r="V13" s="108">
        <f>($U$13/F$5)*100</f>
        <v>4.8749999999999991</v>
      </c>
      <c r="W13" s="108">
        <f>($U$13/G$5)*100</f>
        <v>5.6521739130434785</v>
      </c>
      <c r="X13" s="108">
        <f>($U$13/H$5)*100</f>
        <v>8.125</v>
      </c>
      <c r="Y13" s="108">
        <f>($U$13/I$5)*100</f>
        <v>8.125</v>
      </c>
      <c r="Z13" s="109">
        <f>($U$13/J$5)*100</f>
        <v>8.125</v>
      </c>
    </row>
    <row r="17" spans="2:19" ht="33">
      <c r="B17" s="113" t="s">
        <v>516</v>
      </c>
      <c r="C17" s="113" t="s">
        <v>517</v>
      </c>
      <c r="D17" s="113" t="s">
        <v>518</v>
      </c>
      <c r="E17" s="32" t="s">
        <v>519</v>
      </c>
      <c r="F17" s="32" t="s">
        <v>520</v>
      </c>
      <c r="G17" s="32" t="s">
        <v>521</v>
      </c>
      <c r="H17" s="32" t="s">
        <v>522</v>
      </c>
      <c r="I17" s="32" t="s">
        <v>523</v>
      </c>
      <c r="J17" s="32" t="s">
        <v>524</v>
      </c>
      <c r="K17" s="97"/>
      <c r="M17" s="9"/>
      <c r="N17" s="9"/>
      <c r="O17" s="116"/>
      <c r="P17" s="9"/>
      <c r="Q17" s="9"/>
      <c r="R17" s="9"/>
      <c r="S17" s="9"/>
    </row>
    <row r="18" spans="2:19" ht="17.25">
      <c r="B18" s="269" t="s">
        <v>466</v>
      </c>
      <c r="C18" s="11" t="s">
        <v>525</v>
      </c>
      <c r="D18" s="11">
        <v>30</v>
      </c>
      <c r="E18" s="11">
        <v>3.29</v>
      </c>
      <c r="F18" s="31">
        <f>$E18*$D18*(F$11/100)</f>
        <v>7.6985999999999999</v>
      </c>
      <c r="G18" s="31">
        <f>$E18*$D18*(G$11/100)</f>
        <v>10.129736842105263</v>
      </c>
      <c r="H18" s="31">
        <f>$E18*$D18*(H$11/100)</f>
        <v>13.273448275862071</v>
      </c>
      <c r="I18" s="31">
        <f>$E18*$D18*(I$11/100)</f>
        <v>14.256666666666666</v>
      </c>
      <c r="J18" s="31">
        <f>$E18*$D18*(J$11/100)</f>
        <v>16.736086956521739</v>
      </c>
      <c r="K18" s="51"/>
    </row>
    <row r="19" spans="2:19" ht="17.25">
      <c r="B19" s="270"/>
      <c r="C19" s="11" t="s">
        <v>527</v>
      </c>
      <c r="D19" s="11">
        <v>80</v>
      </c>
      <c r="E19" s="11">
        <v>1.28</v>
      </c>
      <c r="F19" s="31">
        <f t="shared" ref="F19:J20" si="0">$E19*$D19*(F$11/100)</f>
        <v>7.9872000000000005</v>
      </c>
      <c r="G19" s="31">
        <f t="shared" si="0"/>
        <v>10.509473684210526</v>
      </c>
      <c r="H19" s="31">
        <f t="shared" si="0"/>
        <v>13.771034482758623</v>
      </c>
      <c r="I19" s="31">
        <f t="shared" si="0"/>
        <v>14.79111111111111</v>
      </c>
      <c r="J19" s="31">
        <f t="shared" si="0"/>
        <v>17.363478260869567</v>
      </c>
      <c r="K19" s="51"/>
    </row>
    <row r="20" spans="2:19" ht="17.25">
      <c r="B20" s="271"/>
      <c r="C20" s="117" t="s">
        <v>528</v>
      </c>
      <c r="D20" s="117">
        <v>110</v>
      </c>
      <c r="E20" s="117">
        <v>0.98</v>
      </c>
      <c r="F20" s="118">
        <f t="shared" si="0"/>
        <v>8.4084000000000003</v>
      </c>
      <c r="G20" s="118">
        <f t="shared" si="0"/>
        <v>11.063684210526315</v>
      </c>
      <c r="H20" s="118">
        <f t="shared" si="0"/>
        <v>14.497241379310346</v>
      </c>
      <c r="I20" s="118">
        <f t="shared" si="0"/>
        <v>15.57111111111111</v>
      </c>
      <c r="J20" s="118">
        <f t="shared" si="0"/>
        <v>18.279130434782608</v>
      </c>
      <c r="K20" s="51"/>
    </row>
    <row r="21" spans="2:19" ht="17.25">
      <c r="B21" s="266" t="s">
        <v>465</v>
      </c>
      <c r="C21" s="11" t="s">
        <v>526</v>
      </c>
      <c r="D21" s="11">
        <v>30</v>
      </c>
      <c r="E21" s="11">
        <v>3.29</v>
      </c>
      <c r="F21" s="31">
        <f>$E21*$D21*(N$11/100)</f>
        <v>8.7484090909090906</v>
      </c>
      <c r="G21" s="31">
        <f t="shared" ref="G21:J25" si="1">$E21*$D21*(O$11/100)</f>
        <v>11.664545454545454</v>
      </c>
      <c r="H21" s="31">
        <f t="shared" si="1"/>
        <v>16.736086956521739</v>
      </c>
      <c r="I21" s="31">
        <f t="shared" si="1"/>
        <v>17.496818181818181</v>
      </c>
      <c r="J21" s="31">
        <f t="shared" si="1"/>
        <v>20.259473684210526</v>
      </c>
      <c r="K21" s="51"/>
    </row>
    <row r="22" spans="2:19" ht="17.25">
      <c r="B22" s="267"/>
      <c r="C22" s="11" t="s">
        <v>529</v>
      </c>
      <c r="D22" s="11">
        <v>50</v>
      </c>
      <c r="E22" s="11">
        <v>1.28</v>
      </c>
      <c r="F22" s="31">
        <f>$E22*$D22*(N$11/100)</f>
        <v>5.6727272727272728</v>
      </c>
      <c r="G22" s="31">
        <f t="shared" si="1"/>
        <v>7.5636363636363635</v>
      </c>
      <c r="H22" s="31">
        <f t="shared" si="1"/>
        <v>10.852173913043478</v>
      </c>
      <c r="I22" s="31">
        <f t="shared" si="1"/>
        <v>11.345454545454546</v>
      </c>
      <c r="J22" s="31">
        <f t="shared" si="1"/>
        <v>13.136842105263158</v>
      </c>
      <c r="K22" s="51"/>
    </row>
    <row r="23" spans="2:19" ht="17.25">
      <c r="B23" s="267"/>
      <c r="C23" s="11" t="s">
        <v>530</v>
      </c>
      <c r="D23" s="11">
        <v>150</v>
      </c>
      <c r="E23" s="11">
        <v>1.28</v>
      </c>
      <c r="F23" s="31">
        <f>$E23*$D23*(N$11/100)</f>
        <v>17.018181818181819</v>
      </c>
      <c r="G23" s="31">
        <f t="shared" si="1"/>
        <v>22.690909090909091</v>
      </c>
      <c r="H23" s="31">
        <f t="shared" si="1"/>
        <v>32.556521739130432</v>
      </c>
      <c r="I23" s="31">
        <f t="shared" si="1"/>
        <v>34.036363636363639</v>
      </c>
      <c r="J23" s="31">
        <f t="shared" si="1"/>
        <v>39.410526315789475</v>
      </c>
      <c r="K23" s="51"/>
    </row>
    <row r="24" spans="2:19" ht="17.25">
      <c r="B24" s="267"/>
      <c r="C24" s="117" t="s">
        <v>531</v>
      </c>
      <c r="D24" s="117">
        <v>140</v>
      </c>
      <c r="E24" s="117">
        <v>0.98</v>
      </c>
      <c r="F24" s="118">
        <f>$E24*$D24*(N$11/100)</f>
        <v>12.16090909090909</v>
      </c>
      <c r="G24" s="118">
        <f t="shared" si="1"/>
        <v>16.214545454545451</v>
      </c>
      <c r="H24" s="118">
        <f t="shared" si="1"/>
        <v>23.264347826086954</v>
      </c>
      <c r="I24" s="118">
        <f t="shared" si="1"/>
        <v>24.32181818181818</v>
      </c>
      <c r="J24" s="118">
        <f t="shared" si="1"/>
        <v>28.162105263157894</v>
      </c>
      <c r="K24" s="51"/>
    </row>
    <row r="25" spans="2:19" ht="17.25">
      <c r="B25" s="268"/>
      <c r="C25" s="117" t="s">
        <v>528</v>
      </c>
      <c r="D25" s="117">
        <v>110</v>
      </c>
      <c r="E25" s="117">
        <v>0.98</v>
      </c>
      <c r="F25" s="118">
        <f>$E25*$D25*(N$11/100)</f>
        <v>9.5549999999999997</v>
      </c>
      <c r="G25" s="118">
        <f t="shared" si="1"/>
        <v>12.74</v>
      </c>
      <c r="H25" s="118">
        <f t="shared" si="1"/>
        <v>18.279130434782608</v>
      </c>
      <c r="I25" s="118">
        <f t="shared" si="1"/>
        <v>19.11</v>
      </c>
      <c r="J25" s="118">
        <f t="shared" si="1"/>
        <v>22.12736842105263</v>
      </c>
      <c r="K25" s="51"/>
    </row>
    <row r="26" spans="2:19" ht="17.25">
      <c r="B26" s="266" t="s">
        <v>467</v>
      </c>
      <c r="C26" s="11" t="s">
        <v>526</v>
      </c>
      <c r="D26" s="11">
        <v>30</v>
      </c>
      <c r="E26" s="11">
        <v>3.29</v>
      </c>
      <c r="F26" s="31">
        <f>$E26*$D26*(V$11/100)</f>
        <v>4.8116249999999994</v>
      </c>
      <c r="G26" s="31">
        <f t="shared" ref="G26:J29" si="2">$E26*$D26*(W$11/100)</f>
        <v>5.5786956521739128</v>
      </c>
      <c r="H26" s="31">
        <f t="shared" si="2"/>
        <v>8.0193750000000001</v>
      </c>
      <c r="I26" s="31">
        <f t="shared" si="2"/>
        <v>8.0193750000000001</v>
      </c>
      <c r="J26" s="31">
        <f t="shared" si="2"/>
        <v>8.0193750000000001</v>
      </c>
      <c r="K26" s="51"/>
    </row>
    <row r="27" spans="2:19" ht="17.25">
      <c r="B27" s="267"/>
      <c r="C27" s="11" t="s">
        <v>525</v>
      </c>
      <c r="D27" s="11">
        <v>30</v>
      </c>
      <c r="E27" s="11">
        <v>3.29</v>
      </c>
      <c r="F27" s="31">
        <f>$E27*$D27*(V$11/100)</f>
        <v>4.8116249999999994</v>
      </c>
      <c r="G27" s="31">
        <f t="shared" si="2"/>
        <v>5.5786956521739128</v>
      </c>
      <c r="H27" s="31">
        <f t="shared" si="2"/>
        <v>8.0193750000000001</v>
      </c>
      <c r="I27" s="31">
        <f t="shared" si="2"/>
        <v>8.0193750000000001</v>
      </c>
      <c r="J27" s="31">
        <f t="shared" si="2"/>
        <v>8.0193750000000001</v>
      </c>
      <c r="K27" s="51"/>
    </row>
    <row r="28" spans="2:19" ht="17.25">
      <c r="B28" s="267"/>
      <c r="C28" s="11" t="s">
        <v>527</v>
      </c>
      <c r="D28" s="11">
        <v>80</v>
      </c>
      <c r="E28" s="11">
        <v>1.28</v>
      </c>
      <c r="F28" s="31">
        <f>$E28*$D28*(V$11/100)</f>
        <v>4.9919999999999991</v>
      </c>
      <c r="G28" s="31">
        <f t="shared" si="2"/>
        <v>5.7878260869565219</v>
      </c>
      <c r="H28" s="31">
        <f t="shared" si="2"/>
        <v>8.32</v>
      </c>
      <c r="I28" s="31">
        <f t="shared" si="2"/>
        <v>8.32</v>
      </c>
      <c r="J28" s="31">
        <f t="shared" si="2"/>
        <v>8.32</v>
      </c>
      <c r="K28" s="51"/>
    </row>
    <row r="29" spans="2:19" ht="17.25">
      <c r="B29" s="268"/>
      <c r="C29" s="117" t="s">
        <v>528</v>
      </c>
      <c r="D29" s="117">
        <v>110</v>
      </c>
      <c r="E29" s="117">
        <v>0.98</v>
      </c>
      <c r="F29" s="118">
        <f>$E29*$D29*(V$11/100)</f>
        <v>5.2552499999999984</v>
      </c>
      <c r="G29" s="118">
        <f t="shared" si="2"/>
        <v>6.0930434782608698</v>
      </c>
      <c r="H29" s="118">
        <f t="shared" si="2"/>
        <v>8.7587500000000009</v>
      </c>
      <c r="I29" s="118">
        <f t="shared" si="2"/>
        <v>8.7587500000000009</v>
      </c>
      <c r="J29" s="118">
        <f t="shared" si="2"/>
        <v>8.7587500000000009</v>
      </c>
      <c r="K29" s="51"/>
    </row>
    <row r="30" spans="2:19">
      <c r="G30" s="9"/>
      <c r="H30" s="9"/>
      <c r="I30" s="9"/>
      <c r="J30" s="9"/>
      <c r="K30" s="9"/>
    </row>
  </sheetData>
  <mergeCells count="9">
    <mergeCell ref="D7:J7"/>
    <mergeCell ref="L7:R7"/>
    <mergeCell ref="N9:R9"/>
    <mergeCell ref="T7:Z7"/>
    <mergeCell ref="B26:B29"/>
    <mergeCell ref="B21:B25"/>
    <mergeCell ref="B18:B20"/>
    <mergeCell ref="V9:Z9"/>
    <mergeCell ref="F9:J9"/>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sheetPr codeName="Hoja7"/>
  <dimension ref="A1:AM74"/>
  <sheetViews>
    <sheetView topLeftCell="H22" zoomScaleNormal="100" workbookViewId="0">
      <selection activeCell="Q31" sqref="Q31"/>
    </sheetView>
  </sheetViews>
  <sheetFormatPr baseColWidth="10" defaultColWidth="10.7109375" defaultRowHeight="15"/>
  <cols>
    <col min="2" max="2" width="7.7109375" bestFit="1" customWidth="1"/>
    <col min="4" max="4" width="9.42578125" bestFit="1" customWidth="1"/>
    <col min="5" max="5" width="9.42578125" customWidth="1"/>
    <col min="6" max="6" width="14.140625" bestFit="1" customWidth="1"/>
    <col min="7" max="7" width="14.85546875" bestFit="1" customWidth="1"/>
    <col min="8" max="8" width="15.5703125" bestFit="1" customWidth="1"/>
    <col min="9" max="9" width="15.28515625" bestFit="1" customWidth="1"/>
    <col min="10" max="11" width="13.42578125" customWidth="1"/>
    <col min="15" max="15" width="15" bestFit="1" customWidth="1"/>
    <col min="16" max="16" width="14.5703125" bestFit="1" customWidth="1"/>
    <col min="17" max="19" width="14.5703125" customWidth="1"/>
    <col min="20" max="20" width="11.42578125" customWidth="1"/>
    <col min="21" max="21" width="7.7109375" bestFit="1" customWidth="1"/>
    <col min="22" max="22" width="11.7109375" bestFit="1" customWidth="1"/>
    <col min="23" max="23" width="9.7109375" bestFit="1" customWidth="1"/>
    <col min="24" max="26" width="14.85546875" bestFit="1" customWidth="1"/>
    <col min="27" max="27" width="15.28515625" bestFit="1" customWidth="1"/>
    <col min="28" max="28" width="15.28515625" customWidth="1"/>
    <col min="30" max="30" width="12" customWidth="1"/>
    <col min="31" max="31" width="12.5703125" customWidth="1"/>
    <col min="32" max="32" width="9.28515625" bestFit="1" customWidth="1"/>
    <col min="33" max="34" width="12.140625" customWidth="1"/>
  </cols>
  <sheetData>
    <row r="1" spans="3:39" ht="15.75" thickBot="1"/>
    <row r="2" spans="3:39" ht="55.5" customHeight="1">
      <c r="C2" s="23" t="s">
        <v>21</v>
      </c>
      <c r="D2" s="15" t="s">
        <v>0</v>
      </c>
      <c r="E2" s="15" t="s">
        <v>11</v>
      </c>
      <c r="F2" s="15" t="s">
        <v>1</v>
      </c>
      <c r="G2" s="15" t="s">
        <v>11</v>
      </c>
      <c r="H2" s="15" t="s">
        <v>17</v>
      </c>
      <c r="I2" s="24" t="s">
        <v>138</v>
      </c>
      <c r="J2" s="3"/>
      <c r="K2" s="23" t="s">
        <v>21</v>
      </c>
      <c r="L2" s="33" t="s">
        <v>135</v>
      </c>
      <c r="M2" s="33" t="s">
        <v>14</v>
      </c>
      <c r="N2" s="33" t="s">
        <v>22</v>
      </c>
      <c r="O2" s="33" t="s">
        <v>14</v>
      </c>
      <c r="P2" s="33" t="s">
        <v>22</v>
      </c>
      <c r="Q2" s="34" t="s">
        <v>137</v>
      </c>
      <c r="R2" s="6"/>
      <c r="S2" s="23" t="s">
        <v>21</v>
      </c>
      <c r="T2" s="33" t="s">
        <v>180</v>
      </c>
      <c r="U2" s="15" t="s">
        <v>1</v>
      </c>
      <c r="V2" s="33" t="s">
        <v>4</v>
      </c>
      <c r="W2" s="33" t="s">
        <v>3</v>
      </c>
      <c r="X2" s="15" t="s">
        <v>1</v>
      </c>
      <c r="Y2" s="33" t="s">
        <v>4</v>
      </c>
      <c r="Z2" s="33" t="s">
        <v>3</v>
      </c>
      <c r="AA2" s="34" t="s">
        <v>139</v>
      </c>
      <c r="AB2" s="60"/>
      <c r="AC2" s="47" t="s">
        <v>21</v>
      </c>
      <c r="AD2" s="48" t="s">
        <v>25</v>
      </c>
      <c r="AE2" s="48" t="s">
        <v>26</v>
      </c>
      <c r="AF2" s="48" t="s">
        <v>140</v>
      </c>
      <c r="AG2" s="49" t="s">
        <v>141</v>
      </c>
      <c r="AH2" s="63"/>
      <c r="AJ2" s="47" t="s">
        <v>142</v>
      </c>
      <c r="AK2" s="48" t="s">
        <v>143</v>
      </c>
      <c r="AL2" s="48" t="s">
        <v>13</v>
      </c>
      <c r="AM2" s="49" t="s">
        <v>18</v>
      </c>
    </row>
    <row r="3" spans="3:39">
      <c r="C3" s="25"/>
      <c r="D3" s="11" t="s">
        <v>10</v>
      </c>
      <c r="E3" s="11" t="s">
        <v>2</v>
      </c>
      <c r="F3" s="11" t="s">
        <v>2</v>
      </c>
      <c r="G3" s="11" t="s">
        <v>16</v>
      </c>
      <c r="H3" s="11" t="s">
        <v>16</v>
      </c>
      <c r="I3" s="26" t="s">
        <v>16</v>
      </c>
      <c r="J3" s="4"/>
      <c r="K3" s="25"/>
      <c r="L3" s="11" t="s">
        <v>2</v>
      </c>
      <c r="M3" s="11" t="s">
        <v>2</v>
      </c>
      <c r="N3" s="11" t="s">
        <v>15</v>
      </c>
      <c r="O3" s="11" t="s">
        <v>16</v>
      </c>
      <c r="P3" s="11" t="s">
        <v>16</v>
      </c>
      <c r="Q3" s="26" t="s">
        <v>16</v>
      </c>
      <c r="R3" s="4"/>
      <c r="S3" s="25"/>
      <c r="T3" s="11" t="s">
        <v>2</v>
      </c>
      <c r="U3" s="11" t="s">
        <v>2</v>
      </c>
      <c r="V3" s="11" t="s">
        <v>2</v>
      </c>
      <c r="W3" s="11" t="s">
        <v>2</v>
      </c>
      <c r="X3" s="11" t="s">
        <v>16</v>
      </c>
      <c r="Y3" s="11" t="s">
        <v>16</v>
      </c>
      <c r="Z3" s="11" t="s">
        <v>16</v>
      </c>
      <c r="AA3" s="26" t="s">
        <v>16</v>
      </c>
      <c r="AB3" s="61"/>
      <c r="AC3" s="50"/>
      <c r="AD3" s="51"/>
      <c r="AE3" s="51"/>
      <c r="AF3" s="51"/>
      <c r="AG3" s="52"/>
      <c r="AH3" s="51"/>
      <c r="AJ3" s="50"/>
      <c r="AK3" s="51"/>
      <c r="AL3" s="51"/>
      <c r="AM3" s="52"/>
    </row>
    <row r="4" spans="3:39">
      <c r="C4" s="25">
        <v>1</v>
      </c>
      <c r="D4" s="21">
        <f>5.369*C4+461.547</f>
        <v>466.91600000000005</v>
      </c>
      <c r="E4" s="22">
        <f>D4-F4</f>
        <v>428.91120930232563</v>
      </c>
      <c r="F4" s="22">
        <f>D4*$C$20</f>
        <v>38.004790697674423</v>
      </c>
      <c r="G4" s="22">
        <f t="shared" ref="G4:G13" si="0">E4*$F$24</f>
        <v>50.182611488372103</v>
      </c>
      <c r="H4" s="22">
        <f t="shared" ref="H4:H13" si="1">F4*$F$28</f>
        <v>58.907425581395358</v>
      </c>
      <c r="I4" s="27">
        <f>SUM(G4:H4)</f>
        <v>109.09003706976746</v>
      </c>
      <c r="J4" s="5"/>
      <c r="K4" s="25">
        <v>1</v>
      </c>
      <c r="L4" s="11">
        <f t="shared" ref="L4:L13" si="2">M4+N4</f>
        <v>77.11</v>
      </c>
      <c r="M4" s="11">
        <f>0.732*C4+30.778</f>
        <v>31.509999999999998</v>
      </c>
      <c r="N4" s="11">
        <v>45.6</v>
      </c>
      <c r="O4" s="31">
        <f t="shared" ref="O4:O13" si="3">M4*$F$26</f>
        <v>16.133119999999998</v>
      </c>
      <c r="P4" s="31">
        <f t="shared" ref="P4:P13" si="4">N4*$F$27</f>
        <v>19.927199999999999</v>
      </c>
      <c r="Q4" s="27">
        <f t="shared" ref="Q4:Q13" si="5">SUM(O4:P4)</f>
        <v>36.060319999999997</v>
      </c>
      <c r="R4" s="5"/>
      <c r="S4" s="25">
        <v>1</v>
      </c>
      <c r="T4" s="11">
        <f>U4+V4+W4</f>
        <v>330.19600000000003</v>
      </c>
      <c r="U4" s="11">
        <f t="shared" ref="U4:U13" si="6">1.722*C4+56.974</f>
        <v>58.695999999999998</v>
      </c>
      <c r="V4" s="11">
        <v>11.5</v>
      </c>
      <c r="W4" s="11">
        <v>260</v>
      </c>
      <c r="X4" s="31">
        <f t="shared" ref="X4:X13" si="7">U4*$F$28</f>
        <v>90.978799999999993</v>
      </c>
      <c r="Y4" s="31">
        <f t="shared" ref="Y4:Y13" si="8">V4*$F$29</f>
        <v>31.395</v>
      </c>
      <c r="Z4" s="31">
        <f t="shared" ref="Z4:Z13" si="9">W4*$F$24</f>
        <v>30.42</v>
      </c>
      <c r="AA4" s="27">
        <f>SUM(X4:Z4)</f>
        <v>152.79379999999998</v>
      </c>
      <c r="AB4" s="62"/>
      <c r="AC4" s="50">
        <v>1</v>
      </c>
      <c r="AD4" s="54">
        <f t="shared" ref="AD4:AD12" si="10">AA4/Q4</f>
        <v>4.237172604125532</v>
      </c>
      <c r="AE4" s="65">
        <f t="shared" ref="AE4:AE13" si="11">I4/Q4</f>
        <v>3.0252099002384747</v>
      </c>
      <c r="AF4" s="65">
        <v>1</v>
      </c>
      <c r="AG4" s="67">
        <f t="shared" ref="AG4:AG12" si="12">Q18/Q4</f>
        <v>1.3926918563118686</v>
      </c>
      <c r="AH4" s="54"/>
      <c r="AJ4" s="53">
        <f>D4/$L$4</f>
        <v>6.055193878874336</v>
      </c>
      <c r="AK4" s="54">
        <f t="shared" ref="AK4:AK12" si="13">T4/$L$4</f>
        <v>4.2821423939826229</v>
      </c>
      <c r="AL4" s="51">
        <v>1</v>
      </c>
      <c r="AM4" s="55">
        <f t="shared" ref="AM4:AM13" si="14">L18/$L$4</f>
        <v>1.490364414472831</v>
      </c>
    </row>
    <row r="5" spans="3:39">
      <c r="C5" s="25">
        <v>2</v>
      </c>
      <c r="D5" s="11">
        <f t="shared" ref="D5:D13" si="15">5.369*C5+461.547</f>
        <v>472.28500000000003</v>
      </c>
      <c r="E5" s="22">
        <f t="shared" ref="E5:E13" si="16">D5-F5</f>
        <v>433.8431976744186</v>
      </c>
      <c r="F5" s="22">
        <f t="shared" ref="F5:F13" si="17">D5*$C$20</f>
        <v>38.441802325581399</v>
      </c>
      <c r="G5" s="22">
        <f t="shared" si="0"/>
        <v>50.759654127906977</v>
      </c>
      <c r="H5" s="22">
        <f t="shared" si="1"/>
        <v>59.584793604651168</v>
      </c>
      <c r="I5" s="27">
        <f t="shared" ref="I5:I13" si="18">SUM(G5:H5)</f>
        <v>110.34444773255814</v>
      </c>
      <c r="J5" s="5"/>
      <c r="K5" s="25">
        <v>2</v>
      </c>
      <c r="L5" s="11">
        <f t="shared" si="2"/>
        <v>77.841999999999999</v>
      </c>
      <c r="M5" s="11">
        <f t="shared" ref="M5:M13" si="19">0.732*C5+30.778</f>
        <v>32.241999999999997</v>
      </c>
      <c r="N5" s="11">
        <f>N4</f>
        <v>45.6</v>
      </c>
      <c r="O5" s="31">
        <f t="shared" si="3"/>
        <v>16.507904</v>
      </c>
      <c r="P5" s="31">
        <f t="shared" si="4"/>
        <v>19.927199999999999</v>
      </c>
      <c r="Q5" s="27">
        <f t="shared" si="5"/>
        <v>36.435103999999995</v>
      </c>
      <c r="R5" s="5"/>
      <c r="S5" s="25">
        <v>2</v>
      </c>
      <c r="T5" s="11">
        <f t="shared" ref="T5:T13" si="20">U5+V5+W5</f>
        <v>331.91800000000001</v>
      </c>
      <c r="U5" s="11">
        <f t="shared" si="6"/>
        <v>60.417999999999999</v>
      </c>
      <c r="V5" s="11">
        <v>11.5</v>
      </c>
      <c r="W5" s="11">
        <v>260</v>
      </c>
      <c r="X5" s="31">
        <f t="shared" si="7"/>
        <v>93.647900000000007</v>
      </c>
      <c r="Y5" s="31">
        <f t="shared" si="8"/>
        <v>31.395</v>
      </c>
      <c r="Z5" s="31">
        <f t="shared" si="9"/>
        <v>30.42</v>
      </c>
      <c r="AA5" s="27">
        <f t="shared" ref="AA5:AA13" si="21">SUM(X5:Z5)</f>
        <v>155.46289999999999</v>
      </c>
      <c r="AB5" s="62"/>
      <c r="AC5" s="50">
        <v>2</v>
      </c>
      <c r="AD5" s="54">
        <f t="shared" si="10"/>
        <v>4.2668438657400296</v>
      </c>
      <c r="AE5" s="65">
        <f t="shared" si="11"/>
        <v>3.0285201802239441</v>
      </c>
      <c r="AF5" s="65">
        <v>1</v>
      </c>
      <c r="AG5" s="67">
        <f t="shared" si="12"/>
        <v>1.3976811703350704</v>
      </c>
      <c r="AH5" s="54"/>
      <c r="AJ5" s="53">
        <f t="shared" ref="AJ5:AJ13" si="22">D5/L5</f>
        <v>6.0672259191696005</v>
      </c>
      <c r="AK5" s="54">
        <f t="shared" si="13"/>
        <v>4.3044741278692777</v>
      </c>
      <c r="AL5" s="51">
        <v>1</v>
      </c>
      <c r="AM5" s="55">
        <f t="shared" si="14"/>
        <v>1.5112488652574245</v>
      </c>
    </row>
    <row r="6" spans="3:39">
      <c r="C6" s="25">
        <v>3</v>
      </c>
      <c r="D6" s="11">
        <f t="shared" si="15"/>
        <v>477.654</v>
      </c>
      <c r="E6" s="22">
        <f t="shared" si="16"/>
        <v>438.77518604651164</v>
      </c>
      <c r="F6" s="22">
        <f t="shared" si="17"/>
        <v>38.878813953488375</v>
      </c>
      <c r="G6" s="22">
        <f t="shared" si="0"/>
        <v>51.336696767441865</v>
      </c>
      <c r="H6" s="22">
        <f t="shared" si="1"/>
        <v>60.262161627906984</v>
      </c>
      <c r="I6" s="27">
        <f t="shared" si="18"/>
        <v>111.59885839534886</v>
      </c>
      <c r="J6" s="5"/>
      <c r="K6" s="25">
        <v>3</v>
      </c>
      <c r="L6" s="11">
        <f t="shared" si="2"/>
        <v>78.573999999999998</v>
      </c>
      <c r="M6" s="11">
        <f t="shared" si="19"/>
        <v>32.973999999999997</v>
      </c>
      <c r="N6" s="11">
        <f>N5</f>
        <v>45.6</v>
      </c>
      <c r="O6" s="31">
        <f t="shared" si="3"/>
        <v>16.882687999999998</v>
      </c>
      <c r="P6" s="31">
        <f t="shared" si="4"/>
        <v>19.927199999999999</v>
      </c>
      <c r="Q6" s="27">
        <f t="shared" si="5"/>
        <v>36.809888000000001</v>
      </c>
      <c r="R6" s="5"/>
      <c r="S6" s="25">
        <v>3</v>
      </c>
      <c r="T6" s="11">
        <f t="shared" si="20"/>
        <v>333.64</v>
      </c>
      <c r="U6" s="11">
        <f t="shared" si="6"/>
        <v>62.14</v>
      </c>
      <c r="V6" s="11">
        <v>11.5</v>
      </c>
      <c r="W6" s="11">
        <v>260</v>
      </c>
      <c r="X6" s="31">
        <f t="shared" si="7"/>
        <v>96.317000000000007</v>
      </c>
      <c r="Y6" s="31">
        <f t="shared" si="8"/>
        <v>31.395</v>
      </c>
      <c r="Z6" s="31">
        <f t="shared" si="9"/>
        <v>30.42</v>
      </c>
      <c r="AA6" s="27">
        <f t="shared" si="21"/>
        <v>158.13200000000001</v>
      </c>
      <c r="AB6" s="62"/>
      <c r="AC6" s="50">
        <v>3</v>
      </c>
      <c r="AD6" s="54">
        <f t="shared" si="10"/>
        <v>4.2959109248036835</v>
      </c>
      <c r="AE6" s="65">
        <f t="shared" si="11"/>
        <v>3.0317630522360961</v>
      </c>
      <c r="AF6" s="65">
        <v>1</v>
      </c>
      <c r="AG6" s="67">
        <f t="shared" si="12"/>
        <v>1.4025688858385008</v>
      </c>
      <c r="AH6" s="54"/>
      <c r="AJ6" s="53">
        <f t="shared" si="22"/>
        <v>6.0790337770763863</v>
      </c>
      <c r="AK6" s="54">
        <f t="shared" si="13"/>
        <v>4.3268058617559326</v>
      </c>
      <c r="AL6" s="51">
        <v>1</v>
      </c>
      <c r="AM6" s="55">
        <f t="shared" si="14"/>
        <v>1.5321333160420179</v>
      </c>
    </row>
    <row r="7" spans="3:39">
      <c r="C7" s="25">
        <v>4</v>
      </c>
      <c r="D7" s="11">
        <f t="shared" si="15"/>
        <v>483.02300000000002</v>
      </c>
      <c r="E7" s="22">
        <f t="shared" si="16"/>
        <v>443.70717441860467</v>
      </c>
      <c r="F7" s="22">
        <f t="shared" si="17"/>
        <v>39.315825581395352</v>
      </c>
      <c r="G7" s="22">
        <f t="shared" si="0"/>
        <v>51.913739406976752</v>
      </c>
      <c r="H7" s="22">
        <f t="shared" si="1"/>
        <v>60.939529651162793</v>
      </c>
      <c r="I7" s="27">
        <f t="shared" si="18"/>
        <v>112.85326905813955</v>
      </c>
      <c r="J7" s="5"/>
      <c r="K7" s="25">
        <v>4</v>
      </c>
      <c r="L7" s="11">
        <f t="shared" si="2"/>
        <v>79.305999999999997</v>
      </c>
      <c r="M7" s="11">
        <f t="shared" si="19"/>
        <v>33.705999999999996</v>
      </c>
      <c r="N7" s="11">
        <f>N6</f>
        <v>45.6</v>
      </c>
      <c r="O7" s="31">
        <f t="shared" si="3"/>
        <v>17.257472</v>
      </c>
      <c r="P7" s="31">
        <f t="shared" si="4"/>
        <v>19.927199999999999</v>
      </c>
      <c r="Q7" s="27">
        <f t="shared" si="5"/>
        <v>37.184671999999999</v>
      </c>
      <c r="R7" s="5"/>
      <c r="S7" s="25">
        <v>4</v>
      </c>
      <c r="T7" s="11">
        <f t="shared" si="20"/>
        <v>335.36199999999997</v>
      </c>
      <c r="U7" s="11">
        <f t="shared" si="6"/>
        <v>63.861999999999995</v>
      </c>
      <c r="V7" s="11">
        <v>11.5</v>
      </c>
      <c r="W7" s="11">
        <v>260</v>
      </c>
      <c r="X7" s="31">
        <f t="shared" si="7"/>
        <v>98.986099999999993</v>
      </c>
      <c r="Y7" s="31">
        <f t="shared" si="8"/>
        <v>31.395</v>
      </c>
      <c r="Z7" s="31">
        <f t="shared" si="9"/>
        <v>30.42</v>
      </c>
      <c r="AA7" s="27">
        <f t="shared" si="21"/>
        <v>160.80110000000002</v>
      </c>
      <c r="AB7" s="62"/>
      <c r="AC7" s="50">
        <v>4</v>
      </c>
      <c r="AD7" s="54">
        <f t="shared" si="10"/>
        <v>4.3243920505739579</v>
      </c>
      <c r="AE7" s="65">
        <f t="shared" si="11"/>
        <v>3.0349405544881383</v>
      </c>
      <c r="AF7" s="65">
        <v>1</v>
      </c>
      <c r="AG7" s="67">
        <f t="shared" si="12"/>
        <v>1.4073580748540691</v>
      </c>
      <c r="AH7" s="54"/>
      <c r="AJ7" s="53">
        <f t="shared" si="22"/>
        <v>6.0906236602526924</v>
      </c>
      <c r="AK7" s="54">
        <f t="shared" si="13"/>
        <v>4.3491375956425884</v>
      </c>
      <c r="AL7" s="51">
        <v>1</v>
      </c>
      <c r="AM7" s="55">
        <f t="shared" si="14"/>
        <v>1.5530177668266112</v>
      </c>
    </row>
    <row r="8" spans="3:39">
      <c r="C8" s="25">
        <v>5</v>
      </c>
      <c r="D8" s="11">
        <f t="shared" si="15"/>
        <v>488.39200000000005</v>
      </c>
      <c r="E8" s="22">
        <f t="shared" si="16"/>
        <v>448.6391627906977</v>
      </c>
      <c r="F8" s="22">
        <f t="shared" si="17"/>
        <v>39.752837209302335</v>
      </c>
      <c r="G8" s="22">
        <f t="shared" si="0"/>
        <v>52.490782046511633</v>
      </c>
      <c r="H8" s="22">
        <f t="shared" si="1"/>
        <v>61.616897674418624</v>
      </c>
      <c r="I8" s="27">
        <f t="shared" si="18"/>
        <v>114.10767972093026</v>
      </c>
      <c r="J8" s="5"/>
      <c r="K8" s="25">
        <v>5</v>
      </c>
      <c r="L8" s="11">
        <f t="shared" si="2"/>
        <v>80.038000000000011</v>
      </c>
      <c r="M8" s="11">
        <f t="shared" si="19"/>
        <v>34.438000000000002</v>
      </c>
      <c r="N8" s="11">
        <f t="shared" ref="N8:N13" si="23">N7</f>
        <v>45.6</v>
      </c>
      <c r="O8" s="31">
        <f t="shared" si="3"/>
        <v>17.632256000000002</v>
      </c>
      <c r="P8" s="31">
        <f t="shared" si="4"/>
        <v>19.927199999999999</v>
      </c>
      <c r="Q8" s="27">
        <f t="shared" si="5"/>
        <v>37.559455999999997</v>
      </c>
      <c r="R8" s="5"/>
      <c r="S8" s="25">
        <v>5</v>
      </c>
      <c r="T8" s="11">
        <f t="shared" si="20"/>
        <v>337.084</v>
      </c>
      <c r="U8" s="11">
        <f t="shared" si="6"/>
        <v>65.584000000000003</v>
      </c>
      <c r="V8" s="11">
        <v>11.5</v>
      </c>
      <c r="W8" s="11">
        <v>260</v>
      </c>
      <c r="X8" s="31">
        <f t="shared" si="7"/>
        <v>101.65520000000001</v>
      </c>
      <c r="Y8" s="31">
        <f t="shared" si="8"/>
        <v>31.395</v>
      </c>
      <c r="Z8" s="31">
        <f t="shared" si="9"/>
        <v>30.42</v>
      </c>
      <c r="AA8" s="27">
        <f t="shared" si="21"/>
        <v>163.47020000000003</v>
      </c>
      <c r="AB8" s="62"/>
      <c r="AC8" s="50">
        <v>5</v>
      </c>
      <c r="AD8" s="54">
        <f t="shared" si="10"/>
        <v>4.3523047831150707</v>
      </c>
      <c r="AE8" s="65">
        <f t="shared" si="11"/>
        <v>3.0380546438406957</v>
      </c>
      <c r="AF8" s="65">
        <v>1</v>
      </c>
      <c r="AG8" s="67">
        <f t="shared" si="12"/>
        <v>1.4120516867975939</v>
      </c>
      <c r="AH8" s="54"/>
      <c r="AJ8" s="53">
        <f t="shared" si="22"/>
        <v>6.1020015492640995</v>
      </c>
      <c r="AK8" s="54">
        <f t="shared" si="13"/>
        <v>4.3714693295292442</v>
      </c>
      <c r="AL8" s="51">
        <v>1</v>
      </c>
      <c r="AM8" s="55">
        <f t="shared" si="14"/>
        <v>1.573902217611205</v>
      </c>
    </row>
    <row r="9" spans="3:39">
      <c r="C9" s="25">
        <v>6</v>
      </c>
      <c r="D9" s="11">
        <f t="shared" si="15"/>
        <v>493.76100000000002</v>
      </c>
      <c r="E9" s="22">
        <f t="shared" si="16"/>
        <v>453.57115116279073</v>
      </c>
      <c r="F9" s="22">
        <f t="shared" si="17"/>
        <v>40.189848837209304</v>
      </c>
      <c r="G9" s="22">
        <f t="shared" si="0"/>
        <v>53.067824686046521</v>
      </c>
      <c r="H9" s="22">
        <f t="shared" si="1"/>
        <v>62.294265697674426</v>
      </c>
      <c r="I9" s="27">
        <f t="shared" si="18"/>
        <v>115.36209038372095</v>
      </c>
      <c r="J9" s="5"/>
      <c r="K9" s="25">
        <v>6</v>
      </c>
      <c r="L9" s="11">
        <f t="shared" si="2"/>
        <v>80.77000000000001</v>
      </c>
      <c r="M9" s="21">
        <f t="shared" si="19"/>
        <v>35.17</v>
      </c>
      <c r="N9" s="11">
        <f t="shared" si="23"/>
        <v>45.6</v>
      </c>
      <c r="O9" s="31">
        <f t="shared" si="3"/>
        <v>18.00704</v>
      </c>
      <c r="P9" s="31">
        <f t="shared" si="4"/>
        <v>19.927199999999999</v>
      </c>
      <c r="Q9" s="27">
        <f t="shared" si="5"/>
        <v>37.934240000000003</v>
      </c>
      <c r="R9" s="5"/>
      <c r="S9" s="25">
        <v>6</v>
      </c>
      <c r="T9" s="11">
        <f t="shared" si="20"/>
        <v>338.80599999999998</v>
      </c>
      <c r="U9" s="11">
        <f t="shared" si="6"/>
        <v>67.305999999999997</v>
      </c>
      <c r="V9" s="11">
        <v>11.5</v>
      </c>
      <c r="W9" s="11">
        <v>260</v>
      </c>
      <c r="X9" s="31">
        <f t="shared" si="7"/>
        <v>104.32429999999999</v>
      </c>
      <c r="Y9" s="31">
        <f t="shared" si="8"/>
        <v>31.395</v>
      </c>
      <c r="Z9" s="31">
        <f t="shared" si="9"/>
        <v>30.42</v>
      </c>
      <c r="AA9" s="27">
        <f t="shared" si="21"/>
        <v>166.13929999999999</v>
      </c>
      <c r="AB9" s="62"/>
      <c r="AC9" s="50">
        <v>6</v>
      </c>
      <c r="AD9" s="54">
        <f t="shared" si="10"/>
        <v>4.3796659693195377</v>
      </c>
      <c r="AE9" s="65">
        <f t="shared" si="11"/>
        <v>3.0411071998205563</v>
      </c>
      <c r="AF9" s="65">
        <v>1</v>
      </c>
      <c r="AG9" s="67">
        <f t="shared" si="12"/>
        <v>1.4166525545259376</v>
      </c>
      <c r="AH9" s="54"/>
      <c r="AJ9" s="53">
        <f t="shared" si="22"/>
        <v>6.11317320787421</v>
      </c>
      <c r="AK9" s="54">
        <f t="shared" si="13"/>
        <v>4.393801063415899</v>
      </c>
      <c r="AL9" s="51">
        <v>1</v>
      </c>
      <c r="AM9" s="55">
        <f t="shared" si="14"/>
        <v>1.5947866683957985</v>
      </c>
    </row>
    <row r="10" spans="3:39">
      <c r="C10" s="25">
        <v>7</v>
      </c>
      <c r="D10" s="11">
        <f t="shared" si="15"/>
        <v>499.13</v>
      </c>
      <c r="E10" s="22">
        <f t="shared" si="16"/>
        <v>458.5031395348837</v>
      </c>
      <c r="F10" s="22">
        <f t="shared" si="17"/>
        <v>40.62686046511628</v>
      </c>
      <c r="G10" s="22">
        <f t="shared" si="0"/>
        <v>53.644867325581394</v>
      </c>
      <c r="H10" s="22">
        <f t="shared" si="1"/>
        <v>62.971633720930235</v>
      </c>
      <c r="I10" s="27">
        <f t="shared" si="18"/>
        <v>116.61650104651163</v>
      </c>
      <c r="J10" s="5"/>
      <c r="K10" s="25">
        <v>7</v>
      </c>
      <c r="L10" s="11">
        <f t="shared" si="2"/>
        <v>81.50200000000001</v>
      </c>
      <c r="M10" s="11">
        <f t="shared" si="19"/>
        <v>35.902000000000001</v>
      </c>
      <c r="N10" s="11">
        <f t="shared" si="23"/>
        <v>45.6</v>
      </c>
      <c r="O10" s="31">
        <f t="shared" si="3"/>
        <v>18.381824000000002</v>
      </c>
      <c r="P10" s="31">
        <f t="shared" si="4"/>
        <v>19.927199999999999</v>
      </c>
      <c r="Q10" s="27">
        <f t="shared" si="5"/>
        <v>38.309024000000001</v>
      </c>
      <c r="R10" s="5"/>
      <c r="S10" s="25">
        <v>7</v>
      </c>
      <c r="T10" s="11">
        <f t="shared" si="20"/>
        <v>340.52800000000002</v>
      </c>
      <c r="U10" s="11">
        <f t="shared" si="6"/>
        <v>69.027999999999992</v>
      </c>
      <c r="V10" s="11">
        <v>11.5</v>
      </c>
      <c r="W10" s="11">
        <v>260</v>
      </c>
      <c r="X10" s="31">
        <f t="shared" si="7"/>
        <v>106.99339999999999</v>
      </c>
      <c r="Y10" s="31">
        <f t="shared" si="8"/>
        <v>31.395</v>
      </c>
      <c r="Z10" s="31">
        <f t="shared" si="9"/>
        <v>30.42</v>
      </c>
      <c r="AA10" s="27">
        <f t="shared" si="21"/>
        <v>168.80840000000001</v>
      </c>
      <c r="AB10" s="62"/>
      <c r="AC10" s="50">
        <v>7</v>
      </c>
      <c r="AD10" s="54">
        <f t="shared" si="10"/>
        <v>4.4064917968152884</v>
      </c>
      <c r="AE10" s="65">
        <f t="shared" si="11"/>
        <v>3.0441000284035331</v>
      </c>
      <c r="AF10" s="65">
        <v>1</v>
      </c>
      <c r="AG10" s="67">
        <f t="shared" si="12"/>
        <v>1.4211634000385915</v>
      </c>
      <c r="AH10" s="54"/>
      <c r="AJ10" s="53">
        <f t="shared" si="22"/>
        <v>6.1241441927805447</v>
      </c>
      <c r="AK10" s="54">
        <f t="shared" si="13"/>
        <v>4.4161327973025548</v>
      </c>
      <c r="AL10" s="51">
        <v>1</v>
      </c>
      <c r="AM10" s="55">
        <f t="shared" si="14"/>
        <v>1.6156711191803919</v>
      </c>
    </row>
    <row r="11" spans="3:39">
      <c r="C11" s="25">
        <v>8</v>
      </c>
      <c r="D11" s="11">
        <f t="shared" si="15"/>
        <v>504.49900000000002</v>
      </c>
      <c r="E11" s="22">
        <f t="shared" si="16"/>
        <v>463.43512790697673</v>
      </c>
      <c r="F11" s="22">
        <f t="shared" si="17"/>
        <v>41.063872093023264</v>
      </c>
      <c r="G11" s="22">
        <f t="shared" si="0"/>
        <v>54.221909965116282</v>
      </c>
      <c r="H11" s="22">
        <f t="shared" si="1"/>
        <v>63.649001744186059</v>
      </c>
      <c r="I11" s="27">
        <f t="shared" si="18"/>
        <v>117.87091170930233</v>
      </c>
      <c r="J11" s="5"/>
      <c r="K11" s="25">
        <v>8</v>
      </c>
      <c r="L11" s="11">
        <f t="shared" si="2"/>
        <v>82.234000000000009</v>
      </c>
      <c r="M11" s="11">
        <f t="shared" si="19"/>
        <v>36.634</v>
      </c>
      <c r="N11" s="11">
        <f t="shared" si="23"/>
        <v>45.6</v>
      </c>
      <c r="O11" s="31">
        <f t="shared" si="3"/>
        <v>18.756608</v>
      </c>
      <c r="P11" s="31">
        <f t="shared" si="4"/>
        <v>19.927199999999999</v>
      </c>
      <c r="Q11" s="27">
        <f t="shared" si="5"/>
        <v>38.683807999999999</v>
      </c>
      <c r="R11" s="5"/>
      <c r="S11" s="25">
        <v>8</v>
      </c>
      <c r="T11" s="11">
        <f t="shared" si="20"/>
        <v>342.25</v>
      </c>
      <c r="U11" s="11">
        <f t="shared" si="6"/>
        <v>70.75</v>
      </c>
      <c r="V11" s="11">
        <v>11.5</v>
      </c>
      <c r="W11" s="11">
        <v>260</v>
      </c>
      <c r="X11" s="31">
        <f t="shared" si="7"/>
        <v>109.66250000000001</v>
      </c>
      <c r="Y11" s="31">
        <f t="shared" si="8"/>
        <v>31.395</v>
      </c>
      <c r="Z11" s="31">
        <f t="shared" si="9"/>
        <v>30.42</v>
      </c>
      <c r="AA11" s="27">
        <f t="shared" si="21"/>
        <v>171.47750000000002</v>
      </c>
      <c r="AB11" s="62"/>
      <c r="AC11" s="50">
        <v>8</v>
      </c>
      <c r="AD11" s="54">
        <f t="shared" si="10"/>
        <v>4.4327978259017318</v>
      </c>
      <c r="AE11" s="65">
        <f t="shared" si="11"/>
        <v>3.0470348655774098</v>
      </c>
      <c r="AF11" s="65">
        <v>1</v>
      </c>
      <c r="AG11" s="67">
        <f t="shared" si="12"/>
        <v>1.4255868398478249</v>
      </c>
      <c r="AH11" s="54"/>
      <c r="AJ11" s="53">
        <f t="shared" si="22"/>
        <v>6.1349198628304586</v>
      </c>
      <c r="AK11" s="54">
        <f t="shared" si="13"/>
        <v>4.4384645311892106</v>
      </c>
      <c r="AL11" s="51">
        <v>1</v>
      </c>
      <c r="AM11" s="55">
        <f t="shared" si="14"/>
        <v>1.6365555699649852</v>
      </c>
    </row>
    <row r="12" spans="3:39">
      <c r="C12" s="25">
        <v>9</v>
      </c>
      <c r="D12" s="11">
        <f t="shared" si="15"/>
        <v>509.86800000000005</v>
      </c>
      <c r="E12" s="22">
        <f t="shared" si="16"/>
        <v>468.36711627906982</v>
      </c>
      <c r="F12" s="22">
        <f t="shared" si="17"/>
        <v>41.50088372093024</v>
      </c>
      <c r="G12" s="22">
        <f t="shared" si="0"/>
        <v>54.79895260465117</v>
      </c>
      <c r="H12" s="22">
        <f t="shared" si="1"/>
        <v>64.326369767441875</v>
      </c>
      <c r="I12" s="27">
        <f t="shared" si="18"/>
        <v>119.12532237209305</v>
      </c>
      <c r="J12" s="5"/>
      <c r="K12" s="39">
        <v>9</v>
      </c>
      <c r="L12" s="13">
        <f t="shared" si="2"/>
        <v>82.966000000000008</v>
      </c>
      <c r="M12" s="13">
        <f t="shared" si="19"/>
        <v>37.366</v>
      </c>
      <c r="N12" s="13">
        <f t="shared" si="23"/>
        <v>45.6</v>
      </c>
      <c r="O12" s="38">
        <f t="shared" si="3"/>
        <v>19.131392000000002</v>
      </c>
      <c r="P12" s="38">
        <f t="shared" si="4"/>
        <v>19.927199999999999</v>
      </c>
      <c r="Q12" s="40">
        <f t="shared" si="5"/>
        <v>39.058592000000004</v>
      </c>
      <c r="R12" s="5"/>
      <c r="S12" s="25">
        <v>9</v>
      </c>
      <c r="T12" s="11">
        <f t="shared" si="20"/>
        <v>343.97199999999998</v>
      </c>
      <c r="U12" s="11">
        <f t="shared" si="6"/>
        <v>72.471999999999994</v>
      </c>
      <c r="V12" s="11">
        <v>11.5</v>
      </c>
      <c r="W12" s="11">
        <v>260</v>
      </c>
      <c r="X12" s="31">
        <f t="shared" si="7"/>
        <v>112.33159999999999</v>
      </c>
      <c r="Y12" s="31">
        <f t="shared" si="8"/>
        <v>31.395</v>
      </c>
      <c r="Z12" s="31">
        <f t="shared" si="9"/>
        <v>30.42</v>
      </c>
      <c r="AA12" s="27">
        <f t="shared" si="21"/>
        <v>174.14659999999998</v>
      </c>
      <c r="AB12" s="62"/>
      <c r="AC12" s="50">
        <v>9</v>
      </c>
      <c r="AD12" s="54">
        <f t="shared" si="10"/>
        <v>4.4585990196471998</v>
      </c>
      <c r="AE12" s="65">
        <f t="shared" si="11"/>
        <v>3.0499133806997714</v>
      </c>
      <c r="AF12" s="65">
        <v>1</v>
      </c>
      <c r="AG12" s="67">
        <f t="shared" si="12"/>
        <v>1.4299253900396613</v>
      </c>
      <c r="AH12" s="54"/>
      <c r="AJ12" s="53">
        <f t="shared" si="22"/>
        <v>6.1455053877491981</v>
      </c>
      <c r="AK12" s="54">
        <f t="shared" si="13"/>
        <v>4.4607962650758655</v>
      </c>
      <c r="AL12" s="51">
        <v>1</v>
      </c>
      <c r="AM12" s="55">
        <f t="shared" si="14"/>
        <v>1.6574400207495787</v>
      </c>
    </row>
    <row r="13" spans="3:39" ht="15.75" thickBot="1">
      <c r="C13" s="28">
        <v>10</v>
      </c>
      <c r="D13" s="17">
        <f t="shared" si="15"/>
        <v>515.23700000000008</v>
      </c>
      <c r="E13" s="29">
        <f t="shared" si="16"/>
        <v>473.29910465116285</v>
      </c>
      <c r="F13" s="29">
        <f t="shared" si="17"/>
        <v>41.937895348837216</v>
      </c>
      <c r="G13" s="29">
        <f t="shared" si="0"/>
        <v>55.375995244186058</v>
      </c>
      <c r="H13" s="29">
        <f t="shared" si="1"/>
        <v>65.003737790697684</v>
      </c>
      <c r="I13" s="30">
        <f t="shared" si="18"/>
        <v>120.37973303488374</v>
      </c>
      <c r="J13" s="5"/>
      <c r="K13" s="25">
        <v>10</v>
      </c>
      <c r="L13" s="11">
        <f t="shared" si="2"/>
        <v>83.698000000000008</v>
      </c>
      <c r="M13" s="11">
        <f t="shared" si="19"/>
        <v>38.097999999999999</v>
      </c>
      <c r="N13" s="11">
        <f t="shared" si="23"/>
        <v>45.6</v>
      </c>
      <c r="O13" s="31">
        <f t="shared" si="3"/>
        <v>19.506176</v>
      </c>
      <c r="P13" s="31">
        <f t="shared" si="4"/>
        <v>19.927199999999999</v>
      </c>
      <c r="Q13" s="27">
        <f t="shared" si="5"/>
        <v>39.433375999999996</v>
      </c>
      <c r="R13" s="5"/>
      <c r="S13" s="28">
        <v>10</v>
      </c>
      <c r="T13" s="17">
        <f t="shared" si="20"/>
        <v>345.69399999999996</v>
      </c>
      <c r="U13" s="17">
        <f t="shared" si="6"/>
        <v>74.193999999999988</v>
      </c>
      <c r="V13" s="17">
        <v>11.5</v>
      </c>
      <c r="W13" s="17">
        <v>260</v>
      </c>
      <c r="X13" s="35">
        <f t="shared" si="7"/>
        <v>115.00069999999998</v>
      </c>
      <c r="Y13" s="35">
        <f t="shared" si="8"/>
        <v>31.395</v>
      </c>
      <c r="Z13" s="35">
        <f t="shared" si="9"/>
        <v>30.42</v>
      </c>
      <c r="AA13" s="30">
        <f t="shared" si="21"/>
        <v>176.81569999999999</v>
      </c>
      <c r="AB13" s="62"/>
      <c r="AC13" s="64">
        <v>10</v>
      </c>
      <c r="AD13" s="57">
        <f>AA13/Q13</f>
        <v>4.4839097722700689</v>
      </c>
      <c r="AE13" s="66">
        <f t="shared" si="11"/>
        <v>3.052737179664347</v>
      </c>
      <c r="AF13" s="66">
        <v>1</v>
      </c>
      <c r="AG13" s="68">
        <f>Q27/Q13</f>
        <v>1.434181471046253</v>
      </c>
      <c r="AH13" s="54"/>
      <c r="AJ13" s="56">
        <f t="shared" si="22"/>
        <v>6.1559057564099504</v>
      </c>
      <c r="AK13" s="57">
        <f>T13/$L$4</f>
        <v>4.4831279989625203</v>
      </c>
      <c r="AL13" s="58">
        <v>1</v>
      </c>
      <c r="AM13" s="59">
        <f t="shared" si="14"/>
        <v>1.6783244715341721</v>
      </c>
    </row>
    <row r="14" spans="3:39">
      <c r="K14" s="41"/>
      <c r="L14" s="9"/>
      <c r="M14" s="9"/>
      <c r="N14" s="9"/>
      <c r="O14" s="9"/>
      <c r="P14" s="9"/>
      <c r="Q14" s="42"/>
    </row>
    <row r="15" spans="3:39">
      <c r="K15" s="41"/>
      <c r="L15" s="9"/>
      <c r="M15" s="9"/>
      <c r="N15" s="9"/>
      <c r="O15" s="9"/>
      <c r="P15" s="9"/>
      <c r="Q15" s="42"/>
    </row>
    <row r="16" spans="3:39" ht="30">
      <c r="J16" s="1"/>
      <c r="K16" s="43" t="s">
        <v>21</v>
      </c>
      <c r="L16" s="20" t="s">
        <v>135</v>
      </c>
      <c r="M16" s="10" t="s">
        <v>133</v>
      </c>
      <c r="N16" s="32" t="s">
        <v>22</v>
      </c>
      <c r="O16" s="11" t="s">
        <v>134</v>
      </c>
      <c r="P16" s="20" t="s">
        <v>22</v>
      </c>
      <c r="Q16" s="44" t="s">
        <v>136</v>
      </c>
      <c r="R16" s="3"/>
      <c r="S16" s="3"/>
    </row>
    <row r="17" spans="2:19">
      <c r="C17" t="s">
        <v>5</v>
      </c>
      <c r="K17" s="45"/>
      <c r="L17" s="14" t="s">
        <v>15</v>
      </c>
      <c r="M17" s="14" t="s">
        <v>2</v>
      </c>
      <c r="N17" s="14" t="s">
        <v>15</v>
      </c>
      <c r="O17" s="14" t="s">
        <v>16</v>
      </c>
      <c r="P17" s="14" t="s">
        <v>16</v>
      </c>
      <c r="Q17" s="46" t="s">
        <v>16</v>
      </c>
      <c r="R17" s="4"/>
      <c r="S17" s="4"/>
    </row>
    <row r="18" spans="2:19">
      <c r="C18" t="s">
        <v>6</v>
      </c>
      <c r="D18" t="s">
        <v>7</v>
      </c>
      <c r="K18" s="25">
        <v>1</v>
      </c>
      <c r="L18" s="11">
        <f t="shared" ref="L18:L27" si="24">M18+N18</f>
        <v>114.922</v>
      </c>
      <c r="M18" s="11">
        <f>M4*2.2</f>
        <v>69.322000000000003</v>
      </c>
      <c r="N18" s="11">
        <v>45.6</v>
      </c>
      <c r="O18" s="31">
        <f t="shared" ref="O18:O27" si="25">M18*$F$27</f>
        <v>30.293714000000001</v>
      </c>
      <c r="P18" s="31">
        <f t="shared" ref="P18:P27" si="26">N18*$F$27</f>
        <v>19.927199999999999</v>
      </c>
      <c r="Q18" s="36">
        <f t="shared" ref="Q18:Q27" si="27">O18+P18</f>
        <v>50.220914</v>
      </c>
      <c r="R18" s="7"/>
      <c r="S18" s="7"/>
    </row>
    <row r="19" spans="2:19">
      <c r="C19">
        <v>430</v>
      </c>
      <c r="D19">
        <v>35</v>
      </c>
      <c r="E19">
        <f>SUM(C19:D19)</f>
        <v>465</v>
      </c>
      <c r="K19" s="25">
        <v>2</v>
      </c>
      <c r="L19" s="11">
        <f t="shared" si="24"/>
        <v>116.5324</v>
      </c>
      <c r="M19" s="11">
        <f t="shared" ref="M19:M27" si="28">M5*2.2</f>
        <v>70.932400000000001</v>
      </c>
      <c r="N19" s="11">
        <f>N18</f>
        <v>45.6</v>
      </c>
      <c r="O19" s="31">
        <f t="shared" si="25"/>
        <v>30.9974588</v>
      </c>
      <c r="P19" s="31">
        <f t="shared" si="26"/>
        <v>19.927199999999999</v>
      </c>
      <c r="Q19" s="36">
        <f t="shared" si="27"/>
        <v>50.924658800000003</v>
      </c>
      <c r="R19" s="7"/>
      <c r="S19" s="7"/>
    </row>
    <row r="20" spans="2:19">
      <c r="B20" t="s">
        <v>9</v>
      </c>
      <c r="C20">
        <f>D19/C19</f>
        <v>8.1395348837209308E-2</v>
      </c>
      <c r="K20" s="25">
        <v>3</v>
      </c>
      <c r="L20" s="11">
        <f t="shared" si="24"/>
        <v>118.14279999999999</v>
      </c>
      <c r="M20" s="11">
        <f t="shared" si="28"/>
        <v>72.5428</v>
      </c>
      <c r="N20" s="11">
        <f>N19</f>
        <v>45.6</v>
      </c>
      <c r="O20" s="31">
        <f t="shared" si="25"/>
        <v>31.701203599999999</v>
      </c>
      <c r="P20" s="31">
        <f t="shared" si="26"/>
        <v>19.927199999999999</v>
      </c>
      <c r="Q20" s="36">
        <f t="shared" si="27"/>
        <v>51.628403599999999</v>
      </c>
      <c r="R20" s="7"/>
      <c r="S20" s="7"/>
    </row>
    <row r="21" spans="2:19">
      <c r="F21" t="s">
        <v>12</v>
      </c>
      <c r="G21" t="s">
        <v>509</v>
      </c>
      <c r="K21" s="25">
        <v>4</v>
      </c>
      <c r="L21" s="11">
        <f t="shared" si="24"/>
        <v>119.75319999999999</v>
      </c>
      <c r="M21" s="11">
        <f t="shared" si="28"/>
        <v>74.153199999999998</v>
      </c>
      <c r="N21" s="11">
        <f>N20</f>
        <v>45.6</v>
      </c>
      <c r="O21" s="31">
        <f t="shared" si="25"/>
        <v>32.404948400000002</v>
      </c>
      <c r="P21" s="31">
        <f t="shared" si="26"/>
        <v>19.927199999999999</v>
      </c>
      <c r="Q21" s="36">
        <f t="shared" si="27"/>
        <v>52.332148400000001</v>
      </c>
      <c r="R21" s="7"/>
      <c r="S21" s="7"/>
    </row>
    <row r="22" spans="2:19">
      <c r="C22" t="s">
        <v>222</v>
      </c>
      <c r="F22">
        <v>0.45500000000000002</v>
      </c>
      <c r="G22">
        <v>600</v>
      </c>
      <c r="K22" s="25">
        <v>5</v>
      </c>
      <c r="L22" s="11">
        <f t="shared" si="24"/>
        <v>121.36360000000002</v>
      </c>
      <c r="M22" s="11">
        <f t="shared" si="28"/>
        <v>75.763600000000011</v>
      </c>
      <c r="N22" s="11">
        <f t="shared" ref="N22:N27" si="29">N21</f>
        <v>45.6</v>
      </c>
      <c r="O22" s="31">
        <f t="shared" si="25"/>
        <v>33.108693200000005</v>
      </c>
      <c r="P22" s="31">
        <f t="shared" si="26"/>
        <v>19.927199999999999</v>
      </c>
      <c r="Q22" s="36">
        <f t="shared" si="27"/>
        <v>53.035893200000004</v>
      </c>
      <c r="R22" s="7"/>
      <c r="S22" s="7"/>
    </row>
    <row r="23" spans="2:19">
      <c r="C23" t="s">
        <v>504</v>
      </c>
      <c r="F23">
        <v>0.26300000000000001</v>
      </c>
      <c r="G23">
        <v>500</v>
      </c>
      <c r="K23" s="25">
        <v>6</v>
      </c>
      <c r="L23" s="11">
        <f t="shared" si="24"/>
        <v>122.97400000000002</v>
      </c>
      <c r="M23" s="11">
        <f t="shared" si="28"/>
        <v>77.374000000000009</v>
      </c>
      <c r="N23" s="11">
        <f t="shared" si="29"/>
        <v>45.6</v>
      </c>
      <c r="O23" s="31">
        <f t="shared" si="25"/>
        <v>33.812438000000007</v>
      </c>
      <c r="P23" s="31">
        <f t="shared" si="26"/>
        <v>19.927199999999999</v>
      </c>
      <c r="Q23" s="36">
        <f t="shared" si="27"/>
        <v>53.739638000000006</v>
      </c>
      <c r="R23" s="7"/>
      <c r="S23" s="7"/>
    </row>
    <row r="24" spans="2:19">
      <c r="C24" t="s">
        <v>11</v>
      </c>
      <c r="F24">
        <v>0.11700000000000001</v>
      </c>
      <c r="K24" s="25">
        <v>7</v>
      </c>
      <c r="L24" s="11">
        <f t="shared" si="24"/>
        <v>124.58440000000002</v>
      </c>
      <c r="M24" s="11">
        <f t="shared" si="28"/>
        <v>78.984400000000008</v>
      </c>
      <c r="N24" s="11">
        <f t="shared" si="29"/>
        <v>45.6</v>
      </c>
      <c r="O24" s="31">
        <f t="shared" si="25"/>
        <v>34.516182800000003</v>
      </c>
      <c r="P24" s="31">
        <f t="shared" si="26"/>
        <v>19.927199999999999</v>
      </c>
      <c r="Q24" s="36">
        <f t="shared" si="27"/>
        <v>54.443382800000002</v>
      </c>
      <c r="R24" s="7"/>
      <c r="S24" s="7"/>
    </row>
    <row r="25" spans="2:19">
      <c r="C25" t="s">
        <v>17</v>
      </c>
      <c r="F25">
        <v>1.99</v>
      </c>
      <c r="K25" s="25">
        <v>8</v>
      </c>
      <c r="L25" s="11">
        <f t="shared" si="24"/>
        <v>126.19480000000001</v>
      </c>
      <c r="M25" s="11">
        <f t="shared" si="28"/>
        <v>80.594800000000006</v>
      </c>
      <c r="N25" s="11">
        <f t="shared" si="29"/>
        <v>45.6</v>
      </c>
      <c r="O25" s="31">
        <f t="shared" si="25"/>
        <v>35.219927600000005</v>
      </c>
      <c r="P25" s="31">
        <f t="shared" si="26"/>
        <v>19.927199999999999</v>
      </c>
      <c r="Q25" s="36">
        <f t="shared" si="27"/>
        <v>55.147127600000005</v>
      </c>
      <c r="R25" s="7"/>
      <c r="S25" s="7"/>
    </row>
    <row r="26" spans="2:19">
      <c r="C26" t="s">
        <v>13</v>
      </c>
      <c r="F26">
        <v>0.51200000000000001</v>
      </c>
      <c r="G26">
        <v>400</v>
      </c>
      <c r="K26" s="25">
        <v>9</v>
      </c>
      <c r="L26" s="11">
        <f t="shared" si="24"/>
        <v>127.80520000000001</v>
      </c>
      <c r="M26" s="11">
        <f t="shared" si="28"/>
        <v>82.205200000000005</v>
      </c>
      <c r="N26" s="11">
        <f t="shared" si="29"/>
        <v>45.6</v>
      </c>
      <c r="O26" s="31">
        <f t="shared" si="25"/>
        <v>35.923672400000001</v>
      </c>
      <c r="P26" s="31">
        <f t="shared" si="26"/>
        <v>19.927199999999999</v>
      </c>
      <c r="Q26" s="36">
        <f t="shared" si="27"/>
        <v>55.8508724</v>
      </c>
      <c r="R26" s="7"/>
      <c r="S26" s="7"/>
    </row>
    <row r="27" spans="2:19" ht="15.75" thickBot="1">
      <c r="C27" t="s">
        <v>18</v>
      </c>
      <c r="F27">
        <v>0.437</v>
      </c>
      <c r="G27">
        <v>450</v>
      </c>
      <c r="K27" s="28">
        <v>10</v>
      </c>
      <c r="L27" s="17">
        <f t="shared" si="24"/>
        <v>129.41560000000001</v>
      </c>
      <c r="M27" s="11">
        <f t="shared" si="28"/>
        <v>83.815600000000003</v>
      </c>
      <c r="N27" s="17">
        <f t="shared" si="29"/>
        <v>45.6</v>
      </c>
      <c r="O27" s="35">
        <f t="shared" si="25"/>
        <v>36.627417200000004</v>
      </c>
      <c r="P27" s="35">
        <f t="shared" si="26"/>
        <v>19.927199999999999</v>
      </c>
      <c r="Q27" s="37">
        <f t="shared" si="27"/>
        <v>56.554617200000003</v>
      </c>
      <c r="R27" s="7"/>
      <c r="S27" s="7"/>
    </row>
    <row r="28" spans="2:19">
      <c r="C28" t="s">
        <v>19</v>
      </c>
      <c r="F28">
        <v>1.55</v>
      </c>
    </row>
    <row r="29" spans="2:19" ht="60">
      <c r="C29" t="s">
        <v>20</v>
      </c>
      <c r="F29">
        <v>2.73</v>
      </c>
      <c r="K29" s="43" t="s">
        <v>21</v>
      </c>
      <c r="L29" s="20" t="s">
        <v>135</v>
      </c>
      <c r="M29" s="32" t="s">
        <v>514</v>
      </c>
      <c r="N29" s="32" t="s">
        <v>22</v>
      </c>
      <c r="O29" s="11" t="s">
        <v>495</v>
      </c>
      <c r="P29" s="20" t="s">
        <v>22</v>
      </c>
      <c r="Q29" s="32" t="s">
        <v>513</v>
      </c>
    </row>
    <row r="30" spans="2:19">
      <c r="K30" s="45"/>
      <c r="L30" s="14" t="s">
        <v>15</v>
      </c>
      <c r="M30" s="14" t="s">
        <v>2</v>
      </c>
      <c r="N30" s="14" t="s">
        <v>15</v>
      </c>
      <c r="O30" s="14" t="s">
        <v>16</v>
      </c>
      <c r="P30" s="14" t="s">
        <v>16</v>
      </c>
      <c r="Q30" s="46" t="s">
        <v>16</v>
      </c>
    </row>
    <row r="31" spans="2:19">
      <c r="K31" s="25">
        <v>1</v>
      </c>
      <c r="L31" s="11">
        <f>M31+N31</f>
        <v>70.807999999999993</v>
      </c>
      <c r="M31" s="11">
        <f>M4*0.8</f>
        <v>25.207999999999998</v>
      </c>
      <c r="N31" s="11">
        <v>45.6</v>
      </c>
      <c r="O31" s="31">
        <f>M31*$K$72</f>
        <v>9.4742513366611192</v>
      </c>
      <c r="P31" s="31">
        <f>N31*$F$27</f>
        <v>19.927199999999999</v>
      </c>
      <c r="Q31" s="36">
        <f>O31+P31</f>
        <v>29.401451336661118</v>
      </c>
    </row>
    <row r="32" spans="2:19">
      <c r="K32" s="25">
        <v>2</v>
      </c>
      <c r="L32" s="11">
        <f>M32+N32</f>
        <v>71.393599999999992</v>
      </c>
      <c r="M32" s="11">
        <f>M5*0.8</f>
        <v>25.793599999999998</v>
      </c>
      <c r="N32" s="11">
        <f>N31</f>
        <v>45.6</v>
      </c>
      <c r="O32" s="31">
        <f>M32*$K$72</f>
        <v>9.6943450205213519</v>
      </c>
      <c r="P32" s="31">
        <f>N32*$F$27</f>
        <v>19.927199999999999</v>
      </c>
      <c r="Q32" s="36">
        <f>O32+P32</f>
        <v>29.621545020521353</v>
      </c>
    </row>
    <row r="33" spans="11:17">
      <c r="K33" s="25">
        <v>3</v>
      </c>
      <c r="L33" s="11">
        <f>M33+N33</f>
        <v>71.979199999999992</v>
      </c>
      <c r="M33" s="11">
        <f>M6*0.8</f>
        <v>26.379199999999997</v>
      </c>
      <c r="N33" s="11">
        <f>N32</f>
        <v>45.6</v>
      </c>
      <c r="O33" s="31">
        <f>M33*$K$72</f>
        <v>9.9144387043815847</v>
      </c>
      <c r="P33" s="31">
        <f>N33*$F$27</f>
        <v>19.927199999999999</v>
      </c>
      <c r="Q33" s="36">
        <f>O33+P33</f>
        <v>29.841638704381584</v>
      </c>
    </row>
    <row r="34" spans="11:17">
      <c r="K34" s="25">
        <v>4</v>
      </c>
      <c r="L34" s="11">
        <f>M34+N34</f>
        <v>72.564799999999991</v>
      </c>
      <c r="M34" s="11">
        <f>M7*0.8</f>
        <v>26.964799999999997</v>
      </c>
      <c r="N34" s="11">
        <f>N33</f>
        <v>45.6</v>
      </c>
      <c r="O34" s="31">
        <f>M34*$K$72</f>
        <v>10.134532388241817</v>
      </c>
      <c r="P34" s="31">
        <f>N34*$F$27</f>
        <v>19.927199999999999</v>
      </c>
      <c r="Q34" s="36">
        <f>O34+P34</f>
        <v>30.061732388241815</v>
      </c>
    </row>
    <row r="35" spans="11:17">
      <c r="K35" s="25"/>
      <c r="L35" s="11"/>
      <c r="M35" s="11"/>
      <c r="N35" s="11"/>
      <c r="O35" s="31"/>
      <c r="P35" s="31"/>
      <c r="Q35" s="36"/>
    </row>
    <row r="36" spans="11:17">
      <c r="K36" s="25"/>
      <c r="L36" s="11"/>
      <c r="M36" s="11"/>
      <c r="N36" s="11"/>
      <c r="O36" s="31"/>
      <c r="P36" s="31"/>
      <c r="Q36" s="36"/>
    </row>
    <row r="37" spans="11:17">
      <c r="K37" s="25"/>
      <c r="L37" s="11"/>
      <c r="M37" s="11"/>
      <c r="N37" s="11"/>
      <c r="O37" s="31"/>
      <c r="P37" s="31"/>
      <c r="Q37" s="36"/>
    </row>
    <row r="38" spans="11:17">
      <c r="K38" s="25"/>
      <c r="L38" s="11"/>
      <c r="M38" s="11"/>
      <c r="N38" s="11"/>
      <c r="O38" s="31"/>
      <c r="P38" s="31"/>
      <c r="Q38" s="36"/>
    </row>
    <row r="39" spans="11:17">
      <c r="K39" s="25"/>
      <c r="L39" s="11"/>
      <c r="M39" s="11"/>
      <c r="N39" s="11"/>
      <c r="O39" s="31"/>
      <c r="P39" s="31"/>
      <c r="Q39" s="36"/>
    </row>
    <row r="40" spans="11:17" ht="15.75" thickBot="1">
      <c r="K40" s="28"/>
      <c r="L40" s="17"/>
      <c r="M40" s="11"/>
      <c r="N40" s="17"/>
      <c r="O40" s="35"/>
      <c r="P40" s="35"/>
      <c r="Q40" s="37"/>
    </row>
    <row r="56" spans="1:13">
      <c r="A56" t="s">
        <v>493</v>
      </c>
      <c r="C56" t="s">
        <v>18</v>
      </c>
      <c r="D56">
        <f>(0.1*3.5*15.3)+(2*0.1*3.5*2)</f>
        <v>6.7550000000000008</v>
      </c>
      <c r="E56" t="s">
        <v>78</v>
      </c>
      <c r="F56" s="3">
        <f>D56*G27</f>
        <v>3039.7500000000005</v>
      </c>
      <c r="G56" t="s">
        <v>510</v>
      </c>
      <c r="H56" t="s">
        <v>491</v>
      </c>
      <c r="J56" t="s">
        <v>492</v>
      </c>
      <c r="M56" t="s">
        <v>325</v>
      </c>
    </row>
    <row r="57" spans="1:13">
      <c r="C57" t="s">
        <v>131</v>
      </c>
      <c r="D57">
        <f>0.3*0.3*3.1*4</f>
        <v>1.1159999999999999</v>
      </c>
      <c r="F57">
        <f>D57*G23</f>
        <v>557.99999999999989</v>
      </c>
      <c r="M57" t="s">
        <v>18</v>
      </c>
    </row>
    <row r="58" spans="1:13">
      <c r="C58" t="s">
        <v>132</v>
      </c>
      <c r="D58">
        <f>15.3*0.4*0.3</f>
        <v>1.8360000000000003</v>
      </c>
      <c r="F58">
        <f>D58*G23</f>
        <v>918.00000000000011</v>
      </c>
      <c r="M58" t="s">
        <v>507</v>
      </c>
    </row>
    <row r="59" spans="1:13">
      <c r="D59">
        <f>D57+D58</f>
        <v>2.952</v>
      </c>
      <c r="F59" s="3">
        <f>F58+F57</f>
        <v>1476</v>
      </c>
      <c r="M59" t="s">
        <v>508</v>
      </c>
    </row>
    <row r="60" spans="1:13">
      <c r="F60" s="112">
        <f>F56/F59</f>
        <v>2.0594512195121952</v>
      </c>
      <c r="G60" t="s">
        <v>511</v>
      </c>
      <c r="M60" t="s">
        <v>222</v>
      </c>
    </row>
    <row r="62" spans="1:13">
      <c r="A62" t="s">
        <v>494</v>
      </c>
      <c r="C62" t="s">
        <v>18</v>
      </c>
      <c r="D62">
        <f>(0.12*3.5*15.3)+(2*0.12*3.5*2)</f>
        <v>8.1059999999999999</v>
      </c>
      <c r="F62" s="3">
        <f>D62*G27</f>
        <v>3647.7</v>
      </c>
      <c r="K62" t="s">
        <v>496</v>
      </c>
    </row>
    <row r="63" spans="1:13">
      <c r="C63" t="s">
        <v>131</v>
      </c>
      <c r="D63">
        <f>0.4*0.4*3.1*4</f>
        <v>1.9840000000000004</v>
      </c>
      <c r="F63">
        <f>D63*G23</f>
        <v>992.00000000000023</v>
      </c>
    </row>
    <row r="64" spans="1:13">
      <c r="C64" t="s">
        <v>132</v>
      </c>
      <c r="D64">
        <f>15.3*0.4*0.3</f>
        <v>1.8360000000000003</v>
      </c>
      <c r="F64">
        <f>D64*G23</f>
        <v>918.00000000000011</v>
      </c>
    </row>
    <row r="65" spans="2:11">
      <c r="D65">
        <f>D63+D64</f>
        <v>3.8200000000000007</v>
      </c>
      <c r="F65" s="115">
        <f>F63+F64</f>
        <v>1910.0000000000005</v>
      </c>
    </row>
    <row r="66" spans="2:11">
      <c r="F66">
        <f>F62/F65</f>
        <v>1.9097905759162299</v>
      </c>
    </row>
    <row r="67" spans="2:11">
      <c r="C67" t="s">
        <v>496</v>
      </c>
    </row>
    <row r="68" spans="2:11">
      <c r="C68" t="s">
        <v>498</v>
      </c>
    </row>
    <row r="69" spans="2:11">
      <c r="B69" t="s">
        <v>499</v>
      </c>
      <c r="C69">
        <f>(15.3/0.6)+1</f>
        <v>26.500000000000004</v>
      </c>
      <c r="D69">
        <v>27</v>
      </c>
      <c r="E69">
        <f>D69*0.12*0.06*3.1</f>
        <v>0.60263999999999995</v>
      </c>
      <c r="G69" t="s">
        <v>502</v>
      </c>
    </row>
    <row r="70" spans="2:11">
      <c r="C70" t="s">
        <v>497</v>
      </c>
      <c r="E70">
        <f>15.3*3*0.04*0.12</f>
        <v>0.22032000000000002</v>
      </c>
      <c r="I70" t="s">
        <v>56</v>
      </c>
      <c r="J70" t="s">
        <v>512</v>
      </c>
    </row>
    <row r="71" spans="2:11">
      <c r="E71">
        <f>E69+E70</f>
        <v>0.82295999999999991</v>
      </c>
      <c r="F71" t="s">
        <v>500</v>
      </c>
      <c r="G71">
        <f>E71+E72+E73</f>
        <v>0.96335999999999999</v>
      </c>
      <c r="H71" t="s">
        <v>503</v>
      </c>
      <c r="I71" s="2">
        <f>G71*G23</f>
        <v>481.68</v>
      </c>
      <c r="J71">
        <f>I71/I73</f>
        <v>0.41227583656868183</v>
      </c>
      <c r="K71" t="s">
        <v>505</v>
      </c>
    </row>
    <row r="72" spans="2:11">
      <c r="B72" t="s">
        <v>501</v>
      </c>
      <c r="C72">
        <f>(2/0.6)+1</f>
        <v>4.3333333333333339</v>
      </c>
      <c r="D72">
        <v>5</v>
      </c>
      <c r="E72">
        <f>D72*0.12*0.06*3.1</f>
        <v>0.11159999999999999</v>
      </c>
      <c r="G72">
        <f>0.022*15.3*3.4</f>
        <v>1.1444399999999999</v>
      </c>
      <c r="H72" t="s">
        <v>222</v>
      </c>
      <c r="I72" s="2">
        <f>G72*G22</f>
        <v>686.66399999999999</v>
      </c>
      <c r="J72">
        <f>I72/I73</f>
        <v>0.58772416343131817</v>
      </c>
      <c r="K72">
        <f>J71*F23+J72*F22</f>
        <v>0.37584303937881308</v>
      </c>
    </row>
    <row r="73" spans="2:11">
      <c r="C73" t="s">
        <v>497</v>
      </c>
      <c r="E73">
        <f>2*3*0.04*0.12</f>
        <v>2.8799999999999999E-2</v>
      </c>
      <c r="I73" s="2">
        <f>I72+I71</f>
        <v>1168.3440000000001</v>
      </c>
    </row>
    <row r="74" spans="2:11">
      <c r="I74">
        <f>I73/F59</f>
        <v>0.79156097560975613</v>
      </c>
      <c r="J74" t="s">
        <v>506</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sheetPr codeName="Hoja8"/>
  <dimension ref="B2:L69"/>
  <sheetViews>
    <sheetView workbookViewId="0">
      <pane ySplit="2835" topLeftCell="A7" activePane="bottomLeft"/>
      <selection activeCell="B2" sqref="B2:J3"/>
      <selection pane="bottomLeft" activeCell="J37" sqref="J37"/>
    </sheetView>
  </sheetViews>
  <sheetFormatPr baseColWidth="10" defaultColWidth="10.7109375" defaultRowHeight="15"/>
  <cols>
    <col min="2" max="2" width="25" bestFit="1" customWidth="1"/>
    <col min="3" max="3" width="21.28515625" customWidth="1"/>
    <col min="8" max="8" width="13.5703125" bestFit="1" customWidth="1"/>
    <col min="9" max="9" width="10.28515625" bestFit="1" customWidth="1"/>
    <col min="10" max="10" width="14.42578125" bestFit="1" customWidth="1"/>
  </cols>
  <sheetData>
    <row r="2" spans="2:10">
      <c r="E2" t="s">
        <v>52</v>
      </c>
      <c r="F2" t="s">
        <v>53</v>
      </c>
      <c r="H2" t="s">
        <v>54</v>
      </c>
      <c r="I2" t="s">
        <v>53</v>
      </c>
      <c r="J2" s="3" t="s">
        <v>23</v>
      </c>
    </row>
    <row r="3" spans="2:10" ht="45">
      <c r="B3" t="s">
        <v>37</v>
      </c>
      <c r="C3" s="1" t="s">
        <v>38</v>
      </c>
      <c r="D3" t="s">
        <v>51</v>
      </c>
      <c r="E3" t="s">
        <v>55</v>
      </c>
      <c r="G3" t="s">
        <v>15</v>
      </c>
      <c r="J3" s="3" t="s">
        <v>61</v>
      </c>
    </row>
    <row r="4" spans="2:10">
      <c r="B4" t="s">
        <v>27</v>
      </c>
      <c r="C4" t="s">
        <v>62</v>
      </c>
      <c r="D4">
        <v>0.02</v>
      </c>
      <c r="E4">
        <v>2600</v>
      </c>
      <c r="F4" t="s">
        <v>57</v>
      </c>
      <c r="G4">
        <f>D4*E4</f>
        <v>52</v>
      </c>
      <c r="H4">
        <v>0.7</v>
      </c>
      <c r="I4" t="s">
        <v>58</v>
      </c>
      <c r="J4" s="2">
        <f>G4*H4</f>
        <v>36.4</v>
      </c>
    </row>
    <row r="5" spans="2:10">
      <c r="C5" t="s">
        <v>28</v>
      </c>
      <c r="D5">
        <v>0.02</v>
      </c>
      <c r="E5">
        <v>1900</v>
      </c>
      <c r="F5" t="s">
        <v>57</v>
      </c>
      <c r="G5">
        <f>E5*D5</f>
        <v>38</v>
      </c>
      <c r="H5">
        <v>0.183</v>
      </c>
      <c r="I5" t="s">
        <v>58</v>
      </c>
      <c r="J5" s="2">
        <f>G5*H5</f>
        <v>6.9539999999999997</v>
      </c>
    </row>
    <row r="6" spans="2:10">
      <c r="C6" t="s">
        <v>36</v>
      </c>
      <c r="D6">
        <v>0.05</v>
      </c>
      <c r="E6">
        <v>1400</v>
      </c>
      <c r="F6" t="s">
        <v>59</v>
      </c>
      <c r="G6">
        <f>E6*D6</f>
        <v>70</v>
      </c>
      <c r="H6">
        <v>0.183</v>
      </c>
      <c r="I6" t="s">
        <v>58</v>
      </c>
      <c r="J6" s="2">
        <f>G6*H6</f>
        <v>12.81</v>
      </c>
    </row>
    <row r="7" spans="2:10">
      <c r="C7" t="s">
        <v>29</v>
      </c>
      <c r="D7">
        <v>0.01</v>
      </c>
      <c r="E7">
        <v>25</v>
      </c>
      <c r="F7" t="s">
        <v>60</v>
      </c>
      <c r="G7">
        <f>D7*E7</f>
        <v>0.25</v>
      </c>
      <c r="H7">
        <v>2.54</v>
      </c>
      <c r="I7" t="s">
        <v>58</v>
      </c>
      <c r="J7" s="2">
        <f>G7*H7</f>
        <v>0.63500000000000001</v>
      </c>
    </row>
    <row r="8" spans="2:10">
      <c r="D8">
        <f>SUM(D4:D7)</f>
        <v>9.9999999999999992E-2</v>
      </c>
      <c r="J8" s="7">
        <f>SUM(J4:J7)</f>
        <v>56.798999999999999</v>
      </c>
    </row>
    <row r="10" spans="2:10">
      <c r="B10" t="s">
        <v>30</v>
      </c>
      <c r="C10" t="s">
        <v>31</v>
      </c>
      <c r="D10">
        <v>0.03</v>
      </c>
      <c r="E10">
        <v>2250</v>
      </c>
      <c r="F10" t="s">
        <v>59</v>
      </c>
      <c r="G10">
        <f>D10*E10</f>
        <v>67.5</v>
      </c>
      <c r="H10">
        <v>0.11799999999999999</v>
      </c>
      <c r="I10" t="s">
        <v>58</v>
      </c>
      <c r="J10" s="2">
        <f>G10*H10</f>
        <v>7.9649999999999999</v>
      </c>
    </row>
    <row r="11" spans="2:10">
      <c r="C11" t="s">
        <v>28</v>
      </c>
      <c r="D11">
        <v>0.02</v>
      </c>
      <c r="E11">
        <v>1900</v>
      </c>
      <c r="F11" t="s">
        <v>57</v>
      </c>
      <c r="G11">
        <f>E11*D11</f>
        <v>38</v>
      </c>
      <c r="H11">
        <v>0.183</v>
      </c>
      <c r="I11" t="s">
        <v>58</v>
      </c>
      <c r="J11" s="2">
        <f>G11*H11</f>
        <v>6.9539999999999997</v>
      </c>
    </row>
    <row r="12" spans="2:10">
      <c r="C12" t="s">
        <v>36</v>
      </c>
      <c r="D12">
        <v>0.04</v>
      </c>
      <c r="E12">
        <v>1400</v>
      </c>
      <c r="F12" t="s">
        <v>59</v>
      </c>
      <c r="G12">
        <f>E12*D12</f>
        <v>56</v>
      </c>
      <c r="H12">
        <v>0.183</v>
      </c>
      <c r="I12" t="s">
        <v>58</v>
      </c>
      <c r="J12" s="2">
        <f>G12*H12</f>
        <v>10.247999999999999</v>
      </c>
    </row>
    <row r="13" spans="2:10">
      <c r="C13" t="s">
        <v>32</v>
      </c>
      <c r="D13">
        <v>0.01</v>
      </c>
      <c r="E13">
        <v>25</v>
      </c>
      <c r="F13" t="s">
        <v>60</v>
      </c>
      <c r="G13">
        <f>D13*E13</f>
        <v>0.25</v>
      </c>
      <c r="H13">
        <v>2.54</v>
      </c>
      <c r="I13" t="s">
        <v>58</v>
      </c>
      <c r="J13" s="2">
        <f>G13*H13</f>
        <v>0.63500000000000001</v>
      </c>
    </row>
    <row r="14" spans="2:10">
      <c r="D14">
        <f>SUM(D10:D13)</f>
        <v>9.9999999999999992E-2</v>
      </c>
      <c r="J14" s="7">
        <f>SUM(J10:J13)</f>
        <v>25.802000000000003</v>
      </c>
    </row>
    <row r="16" spans="2:10">
      <c r="B16" t="s">
        <v>33</v>
      </c>
      <c r="C16" t="s">
        <v>34</v>
      </c>
      <c r="D16">
        <v>0.01</v>
      </c>
      <c r="E16">
        <v>2500</v>
      </c>
      <c r="F16" t="s">
        <v>57</v>
      </c>
      <c r="G16">
        <f>D16*E16</f>
        <v>25</v>
      </c>
      <c r="H16">
        <v>0.78</v>
      </c>
      <c r="I16" t="s">
        <v>58</v>
      </c>
      <c r="J16" s="2">
        <f>G16*H16</f>
        <v>19.5</v>
      </c>
    </row>
    <row r="17" spans="2:10">
      <c r="C17" t="s">
        <v>35</v>
      </c>
      <c r="D17">
        <v>0.01</v>
      </c>
      <c r="G17">
        <v>5</v>
      </c>
      <c r="H17">
        <v>0.183</v>
      </c>
      <c r="I17" t="s">
        <v>58</v>
      </c>
      <c r="J17" s="2">
        <f>G17*H17</f>
        <v>0.91500000000000004</v>
      </c>
    </row>
    <row r="18" spans="2:10">
      <c r="C18" t="s">
        <v>36</v>
      </c>
      <c r="D18">
        <v>7.0000000000000007E-2</v>
      </c>
      <c r="E18">
        <v>1400</v>
      </c>
      <c r="F18" t="s">
        <v>59</v>
      </c>
      <c r="G18">
        <f>E18*D18</f>
        <v>98.000000000000014</v>
      </c>
      <c r="H18">
        <v>0.183</v>
      </c>
      <c r="I18" t="s">
        <v>58</v>
      </c>
      <c r="J18" s="2">
        <f>G18*H18</f>
        <v>17.934000000000001</v>
      </c>
    </row>
    <row r="19" spans="2:10">
      <c r="C19" t="s">
        <v>32</v>
      </c>
      <c r="D19">
        <v>0.01</v>
      </c>
      <c r="E19">
        <v>25</v>
      </c>
      <c r="F19" t="s">
        <v>60</v>
      </c>
      <c r="G19">
        <f>D19*E19</f>
        <v>0.25</v>
      </c>
      <c r="H19">
        <v>2.54</v>
      </c>
      <c r="I19" t="s">
        <v>58</v>
      </c>
      <c r="J19" s="2">
        <f>G19*H19</f>
        <v>0.63500000000000001</v>
      </c>
    </row>
    <row r="20" spans="2:10">
      <c r="D20">
        <f>SUM(D16:D19)</f>
        <v>0.1</v>
      </c>
      <c r="J20" s="7">
        <f>SUM(J16:J19)</f>
        <v>38.984000000000002</v>
      </c>
    </row>
    <row r="22" spans="2:10">
      <c r="B22" t="s">
        <v>39</v>
      </c>
      <c r="C22" t="s">
        <v>64</v>
      </c>
      <c r="D22">
        <v>8.0000000000000007E-5</v>
      </c>
      <c r="E22">
        <v>1000</v>
      </c>
      <c r="F22" t="s">
        <v>65</v>
      </c>
      <c r="G22">
        <f>D22*E22</f>
        <v>0.08</v>
      </c>
      <c r="H22">
        <v>2.54</v>
      </c>
      <c r="J22" s="2">
        <f t="shared" ref="J22:J28" si="0">G22*H22</f>
        <v>0.20320000000000002</v>
      </c>
    </row>
    <row r="23" spans="2:10">
      <c r="C23" t="s">
        <v>39</v>
      </c>
      <c r="D23">
        <v>0.02</v>
      </c>
      <c r="E23">
        <v>700</v>
      </c>
      <c r="F23" t="s">
        <v>82</v>
      </c>
      <c r="G23">
        <f>D23*E23</f>
        <v>14</v>
      </c>
      <c r="H23">
        <v>0.30599999999999999</v>
      </c>
      <c r="I23" t="s">
        <v>58</v>
      </c>
      <c r="J23" s="2">
        <f t="shared" si="0"/>
        <v>4.2839999999999998</v>
      </c>
    </row>
    <row r="24" spans="2:10">
      <c r="C24" t="s">
        <v>40</v>
      </c>
      <c r="D24">
        <v>2.5000000000000001E-2</v>
      </c>
      <c r="E24">
        <v>500</v>
      </c>
      <c r="F24" t="s">
        <v>91</v>
      </c>
      <c r="G24">
        <f>'Calculos reves. Suelos'!I25</f>
        <v>2.0812500000000007</v>
      </c>
      <c r="H24">
        <v>0.26300000000000001</v>
      </c>
      <c r="I24" t="s">
        <v>58</v>
      </c>
      <c r="J24" s="2">
        <f t="shared" si="0"/>
        <v>0.54736875000000018</v>
      </c>
    </row>
    <row r="25" spans="2:10">
      <c r="C25" t="s">
        <v>36</v>
      </c>
      <c r="D25">
        <v>4.4999999999999998E-2</v>
      </c>
      <c r="E25">
        <v>1400</v>
      </c>
      <c r="F25" t="s">
        <v>59</v>
      </c>
      <c r="G25">
        <f>E25*D25</f>
        <v>63</v>
      </c>
      <c r="H25">
        <v>0.183</v>
      </c>
      <c r="I25" t="s">
        <v>58</v>
      </c>
      <c r="J25" s="2">
        <f t="shared" si="0"/>
        <v>11.529</v>
      </c>
    </row>
    <row r="26" spans="2:10">
      <c r="C26" t="s">
        <v>32</v>
      </c>
      <c r="D26">
        <v>0.01</v>
      </c>
      <c r="E26">
        <v>25</v>
      </c>
      <c r="F26" t="s">
        <v>60</v>
      </c>
      <c r="G26">
        <f>D26*E26</f>
        <v>0.25</v>
      </c>
      <c r="H26">
        <v>2.54</v>
      </c>
      <c r="I26" t="s">
        <v>58</v>
      </c>
      <c r="J26" s="2">
        <f t="shared" si="0"/>
        <v>0.63500000000000001</v>
      </c>
    </row>
    <row r="27" spans="2:10">
      <c r="C27" t="s">
        <v>360</v>
      </c>
      <c r="G27">
        <f>'Calculos reves. Suelos'!D28</f>
        <v>0.10089900000000003</v>
      </c>
      <c r="H27">
        <f>'Revest. fachadas ventilada'!H8</f>
        <v>2.54</v>
      </c>
      <c r="J27" s="2">
        <f t="shared" si="0"/>
        <v>0.25628346000000007</v>
      </c>
    </row>
    <row r="28" spans="2:10">
      <c r="C28" t="s">
        <v>361</v>
      </c>
      <c r="G28">
        <f>'Calculos reves. Suelos'!D31</f>
        <v>0.44440000000000007</v>
      </c>
      <c r="H28">
        <f>H27</f>
        <v>2.54</v>
      </c>
      <c r="J28" s="2">
        <f t="shared" si="0"/>
        <v>1.1287760000000002</v>
      </c>
    </row>
    <row r="29" spans="2:10">
      <c r="D29">
        <f>SUM(D23:D26)</f>
        <v>9.9999999999999992E-2</v>
      </c>
      <c r="J29" s="7">
        <f>SUM(J22:J28)</f>
        <v>18.583628210000001</v>
      </c>
    </row>
    <row r="31" spans="2:10">
      <c r="B31" t="s">
        <v>41</v>
      </c>
      <c r="C31" t="s">
        <v>64</v>
      </c>
      <c r="D31">
        <v>8.0000000000000007E-5</v>
      </c>
      <c r="E31">
        <v>1000</v>
      </c>
      <c r="F31" t="s">
        <v>65</v>
      </c>
      <c r="G31">
        <f>D31*E31</f>
        <v>0.08</v>
      </c>
      <c r="H31">
        <v>2.54</v>
      </c>
      <c r="J31" s="2">
        <f t="shared" ref="J31:J36" si="1">G31*H31</f>
        <v>0.20320000000000002</v>
      </c>
    </row>
    <row r="32" spans="2:10">
      <c r="C32" t="s">
        <v>42</v>
      </c>
      <c r="D32">
        <v>0.01</v>
      </c>
      <c r="E32">
        <v>700</v>
      </c>
      <c r="F32" t="s">
        <v>82</v>
      </c>
      <c r="G32">
        <f>D32*E32</f>
        <v>7</v>
      </c>
      <c r="H32">
        <f>H23</f>
        <v>0.30599999999999999</v>
      </c>
      <c r="I32" t="s">
        <v>58</v>
      </c>
      <c r="J32" s="2">
        <f t="shared" si="1"/>
        <v>2.1419999999999999</v>
      </c>
    </row>
    <row r="33" spans="2:12">
      <c r="C33" t="s">
        <v>63</v>
      </c>
      <c r="D33">
        <v>5.0000000000000001E-3</v>
      </c>
      <c r="F33" t="s">
        <v>65</v>
      </c>
      <c r="G33">
        <f>'Calculos reves. Suelos'!F10</f>
        <v>0.89004210526315797</v>
      </c>
      <c r="H33">
        <v>3.1</v>
      </c>
      <c r="I33" t="s">
        <v>58</v>
      </c>
      <c r="J33" s="2">
        <f t="shared" si="1"/>
        <v>2.7591305263157899</v>
      </c>
      <c r="L33" t="s">
        <v>66</v>
      </c>
    </row>
    <row r="34" spans="2:12">
      <c r="C34" t="s">
        <v>36</v>
      </c>
      <c r="D34">
        <v>7.4999999999999997E-2</v>
      </c>
      <c r="E34">
        <v>1400</v>
      </c>
      <c r="F34" t="s">
        <v>59</v>
      </c>
      <c r="G34">
        <f>E34*D34</f>
        <v>105</v>
      </c>
      <c r="H34">
        <v>0.183</v>
      </c>
      <c r="I34" t="s">
        <v>58</v>
      </c>
      <c r="J34" s="2">
        <f t="shared" si="1"/>
        <v>19.215</v>
      </c>
    </row>
    <row r="35" spans="2:12">
      <c r="C35" t="s">
        <v>32</v>
      </c>
      <c r="D35">
        <v>0.01</v>
      </c>
      <c r="E35">
        <v>25</v>
      </c>
      <c r="F35" t="s">
        <v>60</v>
      </c>
      <c r="G35">
        <f>D35*E35</f>
        <v>0.25</v>
      </c>
      <c r="H35">
        <v>2.54</v>
      </c>
      <c r="I35" t="s">
        <v>58</v>
      </c>
      <c r="J35" s="2">
        <f t="shared" si="1"/>
        <v>0.63500000000000001</v>
      </c>
    </row>
    <row r="36" spans="2:12">
      <c r="C36" t="s">
        <v>365</v>
      </c>
      <c r="G36">
        <f>G28</f>
        <v>0.44440000000000007</v>
      </c>
      <c r="H36">
        <f>H28</f>
        <v>2.54</v>
      </c>
      <c r="J36" s="2">
        <f t="shared" si="1"/>
        <v>1.1287760000000002</v>
      </c>
    </row>
    <row r="37" spans="2:12">
      <c r="D37">
        <f>SUM(D31:D35)</f>
        <v>0.10007999999999999</v>
      </c>
      <c r="J37" s="7">
        <f>SUM(J31:J36)</f>
        <v>26.083106526315788</v>
      </c>
    </row>
    <row r="39" spans="2:12">
      <c r="B39" t="s">
        <v>43</v>
      </c>
      <c r="C39" t="s">
        <v>64</v>
      </c>
      <c r="D39">
        <v>8.0000000000000007E-5</v>
      </c>
      <c r="E39">
        <v>1000</v>
      </c>
      <c r="F39" t="s">
        <v>65</v>
      </c>
      <c r="G39">
        <f>D39*E39</f>
        <v>0.08</v>
      </c>
      <c r="H39">
        <v>2.54</v>
      </c>
      <c r="J39" s="2">
        <f>G39*H39</f>
        <v>0.20320000000000002</v>
      </c>
    </row>
    <row r="40" spans="2:12">
      <c r="C40" t="s">
        <v>44</v>
      </c>
      <c r="D40">
        <v>1.2999999999999999E-2</v>
      </c>
      <c r="J40">
        <f>'Calculos reves. Suelos'!J54</f>
        <v>1.9576</v>
      </c>
      <c r="L40" t="s">
        <v>92</v>
      </c>
    </row>
    <row r="41" spans="2:12">
      <c r="C41" t="s">
        <v>45</v>
      </c>
      <c r="D41">
        <v>2E-3</v>
      </c>
      <c r="E41">
        <v>25</v>
      </c>
      <c r="F41" t="s">
        <v>60</v>
      </c>
      <c r="G41">
        <f>D41*E41</f>
        <v>0.05</v>
      </c>
      <c r="H41">
        <v>2.54</v>
      </c>
      <c r="I41" t="s">
        <v>58</v>
      </c>
      <c r="J41" s="2">
        <f>G41*H41</f>
        <v>0.127</v>
      </c>
    </row>
    <row r="42" spans="2:12">
      <c r="C42" t="s">
        <v>36</v>
      </c>
      <c r="D42">
        <v>7.4999999999999997E-2</v>
      </c>
      <c r="E42">
        <v>1400</v>
      </c>
      <c r="F42" t="s">
        <v>59</v>
      </c>
      <c r="G42">
        <f>E42*D42</f>
        <v>105</v>
      </c>
      <c r="H42">
        <v>0.183</v>
      </c>
      <c r="I42" t="s">
        <v>58</v>
      </c>
      <c r="J42" s="2">
        <f>G42*H42</f>
        <v>19.215</v>
      </c>
    </row>
    <row r="43" spans="2:12">
      <c r="C43" t="s">
        <v>32</v>
      </c>
      <c r="D43">
        <v>0.01</v>
      </c>
      <c r="E43">
        <v>25</v>
      </c>
      <c r="F43" t="s">
        <v>60</v>
      </c>
      <c r="G43">
        <f>D43*E43</f>
        <v>0.25</v>
      </c>
      <c r="H43">
        <v>2.54</v>
      </c>
      <c r="I43" t="s">
        <v>58</v>
      </c>
      <c r="J43" s="2">
        <f>G43*H43</f>
        <v>0.63500000000000001</v>
      </c>
    </row>
    <row r="44" spans="2:12">
      <c r="D44">
        <f>SUM(D39:D43)</f>
        <v>0.10007999999999999</v>
      </c>
      <c r="J44" s="7">
        <f>SUM(J39:J43)</f>
        <v>22.137800000000002</v>
      </c>
    </row>
    <row r="46" spans="2:12">
      <c r="B46" t="s">
        <v>46</v>
      </c>
      <c r="C46" t="s">
        <v>46</v>
      </c>
      <c r="D46">
        <v>2.5000000000000001E-3</v>
      </c>
      <c r="G46">
        <v>3</v>
      </c>
      <c r="H46">
        <v>1.21</v>
      </c>
      <c r="I46" t="s">
        <v>58</v>
      </c>
      <c r="J46">
        <f>G46*H46</f>
        <v>3.63</v>
      </c>
    </row>
    <row r="47" spans="2:12">
      <c r="C47" t="s">
        <v>47</v>
      </c>
      <c r="D47">
        <v>1E-3</v>
      </c>
      <c r="G47">
        <v>0.25</v>
      </c>
      <c r="J47">
        <v>1.66</v>
      </c>
    </row>
    <row r="48" spans="2:12">
      <c r="C48" t="s">
        <v>36</v>
      </c>
      <c r="D48">
        <v>8.6499999999999994E-2</v>
      </c>
      <c r="E48">
        <v>1400</v>
      </c>
      <c r="F48" t="s">
        <v>59</v>
      </c>
      <c r="G48">
        <f>E48*D48</f>
        <v>121.1</v>
      </c>
      <c r="H48">
        <v>0.183</v>
      </c>
      <c r="I48" t="s">
        <v>58</v>
      </c>
      <c r="J48" s="2">
        <f>G48*H48</f>
        <v>22.161299999999997</v>
      </c>
    </row>
    <row r="49" spans="2:11">
      <c r="C49" t="s">
        <v>32</v>
      </c>
      <c r="D49">
        <v>0.01</v>
      </c>
      <c r="E49">
        <v>25</v>
      </c>
      <c r="F49" t="s">
        <v>60</v>
      </c>
      <c r="G49">
        <f>D49*E49</f>
        <v>0.25</v>
      </c>
      <c r="H49">
        <v>2.54</v>
      </c>
      <c r="I49" t="s">
        <v>58</v>
      </c>
      <c r="J49" s="2">
        <f>G49*H49</f>
        <v>0.63500000000000001</v>
      </c>
    </row>
    <row r="50" spans="2:11">
      <c r="D50">
        <f>SUM(D46:D49)</f>
        <v>9.9999999999999992E-2</v>
      </c>
      <c r="J50" s="3">
        <f>SUM(J46:J49)</f>
        <v>28.086299999999998</v>
      </c>
    </row>
    <row r="52" spans="2:11">
      <c r="B52" t="s">
        <v>99</v>
      </c>
      <c r="C52" t="s">
        <v>100</v>
      </c>
      <c r="D52">
        <v>3.0000000000000001E-3</v>
      </c>
      <c r="G52">
        <v>3.15</v>
      </c>
      <c r="H52">
        <v>3.19</v>
      </c>
      <c r="I52" t="s">
        <v>58</v>
      </c>
      <c r="J52">
        <f>G52*H52</f>
        <v>10.048499999999999</v>
      </c>
      <c r="K52" t="s">
        <v>101</v>
      </c>
    </row>
    <row r="53" spans="2:11">
      <c r="C53" t="s">
        <v>47</v>
      </c>
      <c r="D53">
        <v>1E-3</v>
      </c>
      <c r="G53">
        <v>0.25</v>
      </c>
      <c r="J53">
        <v>1.66</v>
      </c>
    </row>
    <row r="54" spans="2:11">
      <c r="C54" t="s">
        <v>36</v>
      </c>
      <c r="D54">
        <v>8.5999999999999993E-2</v>
      </c>
      <c r="E54">
        <v>1400</v>
      </c>
      <c r="F54" t="s">
        <v>59</v>
      </c>
      <c r="G54">
        <f>E54*D54</f>
        <v>120.39999999999999</v>
      </c>
      <c r="H54">
        <v>0.183</v>
      </c>
      <c r="I54" t="s">
        <v>58</v>
      </c>
      <c r="J54" s="2">
        <f>G54*H54</f>
        <v>22.033199999999997</v>
      </c>
    </row>
    <row r="55" spans="2:11">
      <c r="C55" t="s">
        <v>32</v>
      </c>
      <c r="D55">
        <v>0.01</v>
      </c>
      <c r="E55">
        <v>25</v>
      </c>
      <c r="F55" t="s">
        <v>60</v>
      </c>
      <c r="G55">
        <f>D55*E55</f>
        <v>0.25</v>
      </c>
      <c r="H55">
        <v>2.54</v>
      </c>
      <c r="I55" t="s">
        <v>58</v>
      </c>
      <c r="J55" s="2">
        <f>G55*H55</f>
        <v>0.63500000000000001</v>
      </c>
    </row>
    <row r="56" spans="2:11">
      <c r="D56">
        <f>SUM(D52:D55)</f>
        <v>9.9999999999999992E-2</v>
      </c>
      <c r="J56" s="3">
        <f>SUM(J52:J55)</f>
        <v>34.376699999999992</v>
      </c>
    </row>
    <row r="58" spans="2:11">
      <c r="B58" t="s">
        <v>48</v>
      </c>
      <c r="C58" t="s">
        <v>102</v>
      </c>
      <c r="D58">
        <v>8.0000000000000007E-5</v>
      </c>
      <c r="E58">
        <v>1000</v>
      </c>
      <c r="F58" t="s">
        <v>65</v>
      </c>
      <c r="G58">
        <f>D58*E58</f>
        <v>0.08</v>
      </c>
      <c r="H58">
        <v>2.54</v>
      </c>
      <c r="J58" s="2">
        <f>G58*H58</f>
        <v>0.20320000000000002</v>
      </c>
    </row>
    <row r="59" spans="2:11">
      <c r="C59" t="s">
        <v>48</v>
      </c>
      <c r="D59">
        <v>4.0000000000000001E-3</v>
      </c>
      <c r="E59">
        <v>550</v>
      </c>
      <c r="G59">
        <f>D59*E59</f>
        <v>2.2000000000000002</v>
      </c>
      <c r="H59">
        <v>0.30599999999999999</v>
      </c>
      <c r="I59" t="s">
        <v>24</v>
      </c>
      <c r="J59">
        <f>G59*H59</f>
        <v>0.67320000000000002</v>
      </c>
      <c r="K59" t="s">
        <v>103</v>
      </c>
    </row>
    <row r="60" spans="2:11">
      <c r="C60" t="s">
        <v>47</v>
      </c>
      <c r="D60">
        <v>5.0000000000000001E-3</v>
      </c>
      <c r="F60" t="s">
        <v>65</v>
      </c>
      <c r="G60">
        <f>'Calculos reves. Suelos'!F10</f>
        <v>0.89004210526315797</v>
      </c>
      <c r="H60">
        <v>3.1</v>
      </c>
      <c r="I60" t="s">
        <v>58</v>
      </c>
      <c r="J60" s="2">
        <f>G60*H60</f>
        <v>2.7591305263157899</v>
      </c>
    </row>
    <row r="61" spans="2:11">
      <c r="C61" t="s">
        <v>36</v>
      </c>
      <c r="D61">
        <v>0.08</v>
      </c>
      <c r="E61">
        <v>1400</v>
      </c>
      <c r="F61" t="s">
        <v>59</v>
      </c>
      <c r="G61">
        <f>E61*D61</f>
        <v>112</v>
      </c>
      <c r="H61">
        <v>0.183</v>
      </c>
      <c r="I61" t="s">
        <v>58</v>
      </c>
      <c r="J61" s="2">
        <f>G61*H61</f>
        <v>20.495999999999999</v>
      </c>
    </row>
    <row r="62" spans="2:11">
      <c r="C62" t="s">
        <v>32</v>
      </c>
      <c r="D62">
        <v>0.01</v>
      </c>
      <c r="E62">
        <v>25</v>
      </c>
      <c r="F62" t="s">
        <v>60</v>
      </c>
      <c r="G62">
        <f>D62*E62</f>
        <v>0.25</v>
      </c>
      <c r="H62">
        <v>2.54</v>
      </c>
      <c r="I62" t="s">
        <v>58</v>
      </c>
      <c r="J62" s="2">
        <f>G62*H62</f>
        <v>0.63500000000000001</v>
      </c>
    </row>
    <row r="63" spans="2:11">
      <c r="D63">
        <f>SUM(D59:D62)</f>
        <v>9.8999999999999991E-2</v>
      </c>
      <c r="J63" s="7">
        <f>SUM(J58:J62)</f>
        <v>24.76653052631579</v>
      </c>
    </row>
    <row r="65" spans="2:10">
      <c r="B65" t="s">
        <v>49</v>
      </c>
      <c r="C65" t="s">
        <v>50</v>
      </c>
      <c r="D65">
        <v>8.0000000000000002E-3</v>
      </c>
      <c r="G65">
        <v>5.84</v>
      </c>
      <c r="H65">
        <v>0.81499999999999995</v>
      </c>
      <c r="I65" t="s">
        <v>58</v>
      </c>
      <c r="J65">
        <f>G65*H65</f>
        <v>4.7595999999999998</v>
      </c>
    </row>
    <row r="66" spans="2:10">
      <c r="C66" t="s">
        <v>45</v>
      </c>
      <c r="D66">
        <v>2E-3</v>
      </c>
      <c r="E66">
        <v>25</v>
      </c>
      <c r="F66" t="s">
        <v>60</v>
      </c>
      <c r="G66">
        <f>D66*E66</f>
        <v>0.05</v>
      </c>
      <c r="H66">
        <v>2.54</v>
      </c>
      <c r="I66" t="s">
        <v>58</v>
      </c>
      <c r="J66" s="2">
        <f>G66*H66</f>
        <v>0.127</v>
      </c>
    </row>
    <row r="67" spans="2:10">
      <c r="C67" t="s">
        <v>36</v>
      </c>
      <c r="D67">
        <v>0.08</v>
      </c>
      <c r="E67">
        <v>1400</v>
      </c>
      <c r="F67" t="s">
        <v>59</v>
      </c>
      <c r="G67">
        <f>E67*D67</f>
        <v>112</v>
      </c>
      <c r="H67">
        <v>0.183</v>
      </c>
      <c r="I67" t="s">
        <v>58</v>
      </c>
      <c r="J67" s="2">
        <f>G67*H67</f>
        <v>20.495999999999999</v>
      </c>
    </row>
    <row r="68" spans="2:10">
      <c r="C68" t="s">
        <v>32</v>
      </c>
      <c r="D68">
        <v>0.01</v>
      </c>
      <c r="E68">
        <v>25</v>
      </c>
      <c r="F68" t="s">
        <v>60</v>
      </c>
      <c r="G68">
        <f>D68*E68</f>
        <v>0.25</v>
      </c>
      <c r="H68">
        <v>2.54</v>
      </c>
      <c r="I68" t="s">
        <v>58</v>
      </c>
      <c r="J68" s="2">
        <f>G68*H68</f>
        <v>0.63500000000000001</v>
      </c>
    </row>
    <row r="69" spans="2:10">
      <c r="D69">
        <f>SUM(D65:D68)</f>
        <v>9.9999999999999992E-2</v>
      </c>
      <c r="J69" s="7">
        <f>SUM(J65:J68)</f>
        <v>26.017599999999998</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MANUAL DE USO</vt:lpstr>
      <vt:lpstr>ENTRADA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Servicios Informáticos</dc:creator>
  <cp:lastModifiedBy>Usuario</cp:lastModifiedBy>
  <cp:lastPrinted>2020-09-11T08:37:27Z</cp:lastPrinted>
  <dcterms:created xsi:type="dcterms:W3CDTF">2020-06-22T17:08:06Z</dcterms:created>
  <dcterms:modified xsi:type="dcterms:W3CDTF">2020-09-11T19:09:43Z</dcterms:modified>
</cp:coreProperties>
</file>